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1760"/>
  </bookViews>
  <sheets>
    <sheet name="Efficacité BE" sheetId="1" r:id="rId1"/>
    <sheet name="Feuil1" sheetId="2" r:id="rId2"/>
  </sheets>
  <definedNames>
    <definedName name="Z_BAF461AD_106E_40FA_A5D0_1EF6EE1E1DB0_.wvu.Rows" localSheetId="0" hidden="1">'Efficacité BE'!#REF!</definedName>
  </definedNames>
  <calcPr calcId="125725"/>
  <customWorkbookViews>
    <customWorkbookView name="Carto Direction - Affichage personnalisé" guid="{BAF461AD-106E-40FA-A5D0-1EF6EE1E1DB0}" mergeInterval="0" personalView="1" maximized="1" xWindow="1" yWindow="1" windowWidth="1920" windowHeight="971" activeSheetId="1"/>
  </customWorkbookViews>
</workbook>
</file>

<file path=xl/calcChain.xml><?xml version="1.0" encoding="utf-8"?>
<calcChain xmlns="http://schemas.openxmlformats.org/spreadsheetml/2006/main">
  <c r="G18" i="1"/>
  <c r="G19" s="1"/>
  <c r="G20" s="1"/>
  <c r="G16"/>
  <c r="G12"/>
  <c r="G13" s="1"/>
  <c r="G14" s="1"/>
  <c r="G8"/>
  <c r="G3"/>
  <c r="G5" s="1"/>
  <c r="G6" s="1"/>
  <c r="G7" s="1"/>
  <c r="G24" s="1"/>
  <c r="G25" s="1"/>
  <c r="F18"/>
  <c r="F19" s="1"/>
  <c r="F20" s="1"/>
  <c r="F16"/>
  <c r="F12"/>
  <c r="F15" s="1"/>
  <c r="F8"/>
  <c r="F3"/>
  <c r="F5" s="1"/>
  <c r="F6" s="1"/>
  <c r="F7" s="1"/>
  <c r="F24" s="1"/>
  <c r="F25" s="1"/>
  <c r="F13" l="1"/>
  <c r="F14" s="1"/>
  <c r="G26"/>
  <c r="G27"/>
  <c r="G15"/>
  <c r="F27"/>
  <c r="F26"/>
  <c r="E16"/>
  <c r="E18"/>
  <c r="E19" s="1"/>
  <c r="E20" s="1"/>
  <c r="F23" l="1"/>
  <c r="F21" s="1"/>
  <c r="F29" s="1"/>
  <c r="F30" s="1"/>
  <c r="G23"/>
  <c r="E8"/>
  <c r="F17" l="1"/>
  <c r="F32"/>
  <c r="F33" s="1"/>
  <c r="F34" s="1"/>
  <c r="F35" s="1"/>
  <c r="F31"/>
  <c r="G21"/>
  <c r="G29" s="1"/>
  <c r="G30" s="1"/>
  <c r="G17"/>
  <c r="E12"/>
  <c r="E13" s="1"/>
  <c r="E14" s="1"/>
  <c r="G32" l="1"/>
  <c r="G33" s="1"/>
  <c r="G34" s="1"/>
  <c r="G35" s="1"/>
  <c r="G31"/>
  <c r="E15"/>
  <c r="E3"/>
  <c r="E5" s="1"/>
  <c r="D14"/>
  <c r="E6" l="1"/>
  <c r="E7" l="1"/>
  <c r="E24" s="1"/>
  <c r="E25" l="1"/>
  <c r="E26" s="1"/>
  <c r="E27" l="1"/>
  <c r="E23" s="1"/>
  <c r="E17" l="1"/>
  <c r="E21"/>
  <c r="E29" s="1"/>
  <c r="E30" s="1"/>
  <c r="E31" s="1"/>
  <c r="E32" l="1"/>
  <c r="E33" l="1"/>
  <c r="E34" s="1"/>
  <c r="E35" l="1"/>
</calcChain>
</file>

<file path=xl/sharedStrings.xml><?xml version="1.0" encoding="utf-8"?>
<sst xmlns="http://schemas.openxmlformats.org/spreadsheetml/2006/main" count="95" uniqueCount="71">
  <si>
    <t>C</t>
  </si>
  <si>
    <t>L*10 m (largeur utilisé pour la simulation dans VFSmod)/10000</t>
  </si>
  <si>
    <t>m</t>
  </si>
  <si>
    <t>Culture</t>
  </si>
  <si>
    <t>Froment</t>
  </si>
  <si>
    <t>Epeautre</t>
  </si>
  <si>
    <t>Colza</t>
  </si>
  <si>
    <t>Escourgeon</t>
  </si>
  <si>
    <t>Efficacité de rétention</t>
  </si>
  <si>
    <t>GH</t>
  </si>
  <si>
    <t>A</t>
  </si>
  <si>
    <t>B</t>
  </si>
  <si>
    <t>Maïs</t>
  </si>
  <si>
    <t>Culture non sarclée</t>
  </si>
  <si>
    <t>Lin</t>
  </si>
  <si>
    <t>Pomme de terre</t>
  </si>
  <si>
    <t>Betterave</t>
  </si>
  <si>
    <t>Volume de ruissellement (m³)</t>
  </si>
  <si>
    <t>Concentration en sédiments (g/cm³)</t>
  </si>
  <si>
    <t>Efficacité de rétention (%)</t>
  </si>
  <si>
    <t>Groupe hydrologique du sol</t>
  </si>
  <si>
    <t>S</t>
  </si>
  <si>
    <t>F</t>
  </si>
  <si>
    <t>β</t>
  </si>
  <si>
    <t>BE</t>
  </si>
  <si>
    <t>Erodibilité du sol</t>
  </si>
  <si>
    <t>CN II</t>
  </si>
  <si>
    <t>CN Modifié</t>
  </si>
  <si>
    <t>CN III</t>
  </si>
  <si>
    <t>0.2*S</t>
  </si>
  <si>
    <t>P&gt;0.2S</t>
  </si>
  <si>
    <t>Q</t>
  </si>
  <si>
    <t>qp</t>
  </si>
  <si>
    <t>Données parcelle</t>
  </si>
  <si>
    <t>Largeur de la bande enherbée à tester (m)</t>
  </si>
  <si>
    <t>Q SCS</t>
  </si>
  <si>
    <t>Tp</t>
  </si>
  <si>
    <t>Tb</t>
  </si>
  <si>
    <t>Tc (s)</t>
  </si>
  <si>
    <t>P</t>
  </si>
  <si>
    <t>Concentration en sédiments (g/L)</t>
  </si>
  <si>
    <t>AC en ha</t>
  </si>
  <si>
    <r>
      <t>Pente (%)</t>
    </r>
    <r>
      <rPr>
        <b/>
        <i/>
        <vertAlign val="superscript"/>
        <sz val="14"/>
        <color theme="1"/>
        <rFont val="Calibri"/>
        <family val="2"/>
        <scheme val="minor"/>
      </rPr>
      <t>b</t>
    </r>
  </si>
  <si>
    <r>
      <t>Longueur de la pente (m)</t>
    </r>
    <r>
      <rPr>
        <b/>
        <i/>
        <vertAlign val="superscript"/>
        <sz val="14"/>
        <color theme="1"/>
        <rFont val="Calibri"/>
        <family val="2"/>
        <scheme val="minor"/>
      </rPr>
      <t>a</t>
    </r>
  </si>
  <si>
    <t>Attention</t>
  </si>
  <si>
    <t>1)</t>
  </si>
  <si>
    <t>2)</t>
  </si>
  <si>
    <t>3)</t>
  </si>
  <si>
    <t>2) si la parcelle concernée est reprise comme parcelle à risque d'érosion "Très elevé" ou "Extrême" (voir la couche d'érosion potentielle parcelle)</t>
  </si>
  <si>
    <t>4)</t>
  </si>
  <si>
    <t>Pourles situations 3) et 4) l'efficacité de la bande enherbée qui résulte est celle de la portion de bande indiquée en rouge</t>
  </si>
  <si>
    <t>Efficacité de la bande enherbée</t>
  </si>
  <si>
    <t>Résultats intermédiaires</t>
  </si>
  <si>
    <t>Les lignes pointillées représentent les courbes de niveau</t>
  </si>
  <si>
    <t>C'est pourquoi une bande enherbée ne convient pas :</t>
  </si>
  <si>
    <t>1) si la bande à placer recoupe un axe de concentration (voir la couche ERRUISSOL correspondante)</t>
  </si>
  <si>
    <t>Elle ne peut en aucun cas répondre à un problème d'érosion concentrée de type coulée de boue ou pour gérer des quantités de terre trop importantes.</t>
  </si>
  <si>
    <r>
      <t>Quantité de terre érodée (kg/10m)</t>
    </r>
    <r>
      <rPr>
        <b/>
        <i/>
        <vertAlign val="superscript"/>
        <sz val="14"/>
        <color theme="1"/>
        <rFont val="Calibri"/>
        <family val="2"/>
        <scheme val="minor"/>
      </rPr>
      <t>c</t>
    </r>
  </si>
  <si>
    <r>
      <t>Quantité de terre retenue (kg/10m)</t>
    </r>
    <r>
      <rPr>
        <i/>
        <vertAlign val="superscript"/>
        <sz val="14"/>
        <color theme="1"/>
        <rFont val="Calibri"/>
        <family val="2"/>
        <scheme val="minor"/>
      </rPr>
      <t>d</t>
    </r>
  </si>
  <si>
    <r>
      <t>Quantité de terre non retenue (kg/10m)</t>
    </r>
    <r>
      <rPr>
        <b/>
        <i/>
        <vertAlign val="superscript"/>
        <sz val="14"/>
        <color theme="1"/>
        <rFont val="Calibri"/>
        <family val="2"/>
        <scheme val="minor"/>
      </rPr>
      <t>d</t>
    </r>
  </si>
  <si>
    <r>
      <t>Erodibilité du sol (</t>
    </r>
    <r>
      <rPr>
        <i/>
        <sz val="11"/>
        <color theme="1"/>
        <rFont val="Calibri"/>
        <family val="2"/>
        <scheme val="minor"/>
      </rPr>
      <t>t.h.MJ</t>
    </r>
    <r>
      <rPr>
        <i/>
        <vertAlign val="superscript"/>
        <sz val="11"/>
        <color theme="1"/>
        <rFont val="Calibri"/>
        <family val="2"/>
        <scheme val="minor"/>
      </rPr>
      <t>-1</t>
    </r>
    <r>
      <rPr>
        <i/>
        <sz val="11"/>
        <color theme="1"/>
        <rFont val="Calibri"/>
        <family val="2"/>
        <scheme val="minor"/>
      </rPr>
      <t>.mm</t>
    </r>
    <r>
      <rPr>
        <i/>
        <vertAlign val="superscript"/>
        <sz val="11"/>
        <color theme="1"/>
        <rFont val="Calibri"/>
        <family val="2"/>
        <scheme val="minor"/>
      </rPr>
      <t>-1</t>
    </r>
    <r>
      <rPr>
        <i/>
        <sz val="11"/>
        <color theme="1"/>
        <rFont val="Calibri"/>
        <family val="2"/>
        <scheme val="minor"/>
      </rPr>
      <t>)</t>
    </r>
  </si>
  <si>
    <t>Une bande enherbée n'est recommandé qu'en cas d'érosion diffuse.</t>
  </si>
  <si>
    <t>Scénario 1</t>
  </si>
  <si>
    <t>Scénario 3</t>
  </si>
  <si>
    <t>Scénario 2</t>
  </si>
  <si>
    <t>Plusieurs situations peuvent se présenter :</t>
  </si>
  <si>
    <r>
      <t>c'est-à-dire là où  elle est potentiellement la plus faible</t>
    </r>
    <r>
      <rPr>
        <b/>
        <i/>
        <vertAlign val="super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.</t>
    </r>
  </si>
  <si>
    <r>
      <rPr>
        <b/>
        <i/>
        <vertAlign val="super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la pente ne peut excéder 20%.</t>
    </r>
  </si>
  <si>
    <r>
      <rPr>
        <b/>
        <i/>
        <vertAlign val="super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 les quantités de terre érodées sont calculées sur la longueur de la pente indiquée et sur une largeur de 10 m.</t>
    </r>
  </si>
  <si>
    <r>
      <rPr>
        <b/>
        <i/>
        <vertAlign val="superscript"/>
        <sz val="9"/>
        <color theme="1"/>
        <rFont val="Calibri"/>
        <family val="2"/>
        <scheme val="minor"/>
      </rPr>
      <t xml:space="preserve">d </t>
    </r>
    <r>
      <rPr>
        <sz val="9"/>
        <color theme="1"/>
        <rFont val="Calibri"/>
        <family val="2"/>
        <scheme val="minor"/>
      </rPr>
      <t>les quantités de terre retenues et non retenues sont calculées  pour la largeur de bande choisie  pour une portion de bande 10 m de longueur.</t>
    </r>
  </si>
  <si>
    <r>
      <rPr>
        <b/>
        <i/>
        <vertAlign val="superscript"/>
        <sz val="9"/>
        <color theme="1"/>
        <rFont val="Calibri"/>
        <family val="2"/>
        <scheme val="minor"/>
      </rPr>
      <t>a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la longueur à encoder correspond à la plus grande logueur dans le sens de la pente et ne peut excéder 430 m.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</si>
</sst>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Garamond"/>
      <family val="1"/>
    </font>
    <font>
      <sz val="11"/>
      <color theme="1"/>
      <name val="Cambria"/>
      <family val="1"/>
    </font>
    <font>
      <b/>
      <i/>
      <sz val="11"/>
      <color rgb="FF92D05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i/>
      <vertAlign val="superscript"/>
      <sz val="14"/>
      <color theme="1"/>
      <name val="Calibri"/>
      <family val="2"/>
      <scheme val="minor"/>
    </font>
    <font>
      <i/>
      <vertAlign val="superscript"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/>
      <top style="thick">
        <color rgb="FF92D050"/>
      </top>
      <bottom style="thick">
        <color rgb="FF92D050"/>
      </bottom>
      <diagonal/>
    </border>
    <border>
      <left/>
      <right/>
      <top style="thick">
        <color rgb="FF92D050"/>
      </top>
      <bottom style="thick">
        <color rgb="FF92D050"/>
      </bottom>
      <diagonal/>
    </border>
    <border>
      <left/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3" fillId="2" borderId="5" xfId="0" applyFont="1" applyFill="1" applyBorder="1" applyProtection="1"/>
    <xf numFmtId="1" fontId="7" fillId="0" borderId="11" xfId="0" applyNumberFormat="1" applyFont="1" applyFill="1" applyBorder="1" applyAlignment="1" applyProtection="1">
      <alignment horizontal="center"/>
    </xf>
    <xf numFmtId="0" fontId="8" fillId="2" borderId="5" xfId="0" applyFont="1" applyFill="1" applyBorder="1" applyProtection="1"/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3" fillId="2" borderId="14" xfId="0" applyFont="1" applyFill="1" applyBorder="1" applyProtection="1"/>
    <xf numFmtId="0" fontId="3" fillId="2" borderId="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vertical="center"/>
    </xf>
    <xf numFmtId="1" fontId="0" fillId="2" borderId="21" xfId="0" applyNumberFormat="1" applyFill="1" applyBorder="1" applyAlignment="1" applyProtection="1">
      <alignment horizontal="center"/>
    </xf>
    <xf numFmtId="164" fontId="0" fillId="2" borderId="7" xfId="0" applyNumberFormat="1" applyFill="1" applyBorder="1" applyAlignment="1" applyProtection="1">
      <alignment horizontal="center"/>
    </xf>
    <xf numFmtId="165" fontId="0" fillId="0" borderId="20" xfId="0" applyNumberForma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5" fontId="0" fillId="2" borderId="5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3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22" xfId="0" applyBorder="1"/>
    <xf numFmtId="0" fontId="2" fillId="0" borderId="22" xfId="0" applyFont="1" applyBorder="1"/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/>
    <xf numFmtId="0" fontId="18" fillId="0" borderId="0" xfId="0" applyFont="1"/>
    <xf numFmtId="0" fontId="6" fillId="0" borderId="12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wmf"/><Relationship Id="rId2" Type="http://schemas.openxmlformats.org/officeDocument/2006/relationships/image" Target="../media/image7.emf"/><Relationship Id="rId1" Type="http://schemas.openxmlformats.org/officeDocument/2006/relationships/image" Target="../media/image6.wmf"/><Relationship Id="rId5" Type="http://schemas.openxmlformats.org/officeDocument/2006/relationships/image" Target="../media/image10.wmf"/><Relationship Id="rId4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55</xdr:row>
      <xdr:rowOff>57150</xdr:rowOff>
    </xdr:from>
    <xdr:to>
      <xdr:col>2</xdr:col>
      <xdr:colOff>323850</xdr:colOff>
      <xdr:row>65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4448175"/>
          <a:ext cx="1714500" cy="1838325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56</xdr:row>
      <xdr:rowOff>38100</xdr:rowOff>
    </xdr:from>
    <xdr:to>
      <xdr:col>5</xdr:col>
      <xdr:colOff>383242</xdr:colOff>
      <xdr:row>63</xdr:row>
      <xdr:rowOff>171450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4810125"/>
          <a:ext cx="3152775" cy="1466850"/>
        </a:xfrm>
        <a:prstGeom prst="rect">
          <a:avLst/>
        </a:prstGeom>
      </xdr:spPr>
    </xdr:pic>
    <xdr:clientData/>
  </xdr:twoCellAnchor>
  <xdr:twoCellAnchor editAs="oneCell">
    <xdr:from>
      <xdr:col>1</xdr:col>
      <xdr:colOff>108585</xdr:colOff>
      <xdr:row>68</xdr:row>
      <xdr:rowOff>57150</xdr:rowOff>
    </xdr:from>
    <xdr:to>
      <xdr:col>3</xdr:col>
      <xdr:colOff>375285</xdr:colOff>
      <xdr:row>81</xdr:row>
      <xdr:rowOff>57150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065" y="6793230"/>
          <a:ext cx="2766060" cy="2377440"/>
        </a:xfrm>
        <a:prstGeom prst="rect">
          <a:avLst/>
        </a:prstGeom>
      </xdr:spPr>
    </xdr:pic>
    <xdr:clientData/>
  </xdr:twoCellAnchor>
  <xdr:twoCellAnchor editAs="oneCell">
    <xdr:from>
      <xdr:col>3</xdr:col>
      <xdr:colOff>1059180</xdr:colOff>
      <xdr:row>68</xdr:row>
      <xdr:rowOff>30480</xdr:rowOff>
    </xdr:from>
    <xdr:to>
      <xdr:col>5</xdr:col>
      <xdr:colOff>186529</xdr:colOff>
      <xdr:row>79</xdr:row>
      <xdr:rowOff>15240</xdr:rowOff>
    </xdr:to>
    <xdr:pic>
      <xdr:nvPicPr>
        <xdr:cNvPr id="16" name="Image 15" descr="L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51020" y="6766560"/>
          <a:ext cx="2180727" cy="1996440"/>
        </a:xfrm>
        <a:prstGeom prst="rect">
          <a:avLst/>
        </a:prstGeom>
      </xdr:spPr>
    </xdr:pic>
    <xdr:clientData/>
  </xdr:twoCellAnchor>
  <xdr:twoCellAnchor editAs="oneCell">
    <xdr:from>
      <xdr:col>1</xdr:col>
      <xdr:colOff>425824</xdr:colOff>
      <xdr:row>95</xdr:row>
      <xdr:rowOff>71905</xdr:rowOff>
    </xdr:from>
    <xdr:to>
      <xdr:col>6</xdr:col>
      <xdr:colOff>1078006</xdr:colOff>
      <xdr:row>100</xdr:row>
      <xdr:rowOff>74519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30" y="12869023"/>
          <a:ext cx="7205382" cy="95511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"/>
  <sheetViews>
    <sheetView showGridLines="0" tabSelected="1" zoomScale="130" zoomScaleNormal="130" workbookViewId="0">
      <selection activeCell="G29" sqref="G29"/>
    </sheetView>
  </sheetViews>
  <sheetFormatPr baseColWidth="10" defaultColWidth="11.5703125" defaultRowHeight="15"/>
  <cols>
    <col min="1" max="1" width="4.5703125" style="1" customWidth="1"/>
    <col min="2" max="2" width="24.85546875" style="1" customWidth="1"/>
    <col min="3" max="3" width="11.5703125" style="1"/>
    <col min="4" max="4" width="27.28515625" style="1" customWidth="1"/>
    <col min="5" max="7" width="17.28515625" style="1" customWidth="1"/>
    <col min="8" max="16384" width="11.5703125" style="1"/>
  </cols>
  <sheetData>
    <row r="1" spans="2:13" ht="15.75" thickBot="1">
      <c r="B1" s="32"/>
      <c r="E1" s="33" t="s">
        <v>62</v>
      </c>
      <c r="F1" s="33" t="s">
        <v>64</v>
      </c>
      <c r="G1" s="33" t="s">
        <v>63</v>
      </c>
    </row>
    <row r="2" spans="2:13" ht="15.75" thickTop="1">
      <c r="B2" s="51" t="s">
        <v>33</v>
      </c>
      <c r="C2" s="55" t="s">
        <v>3</v>
      </c>
      <c r="D2" s="56"/>
      <c r="E2" s="2" t="s">
        <v>16</v>
      </c>
      <c r="F2" s="2" t="s">
        <v>16</v>
      </c>
      <c r="G2" s="2" t="s">
        <v>16</v>
      </c>
    </row>
    <row r="3" spans="2:13" ht="14.45" hidden="1" customHeight="1">
      <c r="B3" s="52"/>
      <c r="C3" s="4" t="s">
        <v>13</v>
      </c>
      <c r="D3" s="6"/>
      <c r="E3" s="19" t="b">
        <f>OR(E2="Froment",E2="Epeautre",E2="Colza",E2="Escourgeon")</f>
        <v>0</v>
      </c>
      <c r="F3" s="19" t="b">
        <f>OR(F2="Froment",F2="Epeautre",F2="Colza",F2="Escourgeon")</f>
        <v>0</v>
      </c>
      <c r="G3" s="19" t="b">
        <f>OR(G2="Froment",G2="Epeautre",G2="Colza",G2="Escourgeon")</f>
        <v>0</v>
      </c>
    </row>
    <row r="4" spans="2:13" ht="14.25" customHeight="1">
      <c r="B4" s="52"/>
      <c r="C4" s="53" t="s">
        <v>20</v>
      </c>
      <c r="D4" s="54"/>
      <c r="E4" s="3" t="s">
        <v>0</v>
      </c>
      <c r="F4" s="3" t="s">
        <v>0</v>
      </c>
      <c r="G4" s="3" t="s">
        <v>0</v>
      </c>
    </row>
    <row r="5" spans="2:13" ht="14.45" hidden="1" customHeight="1">
      <c r="B5" s="52"/>
      <c r="C5" s="4" t="s">
        <v>26</v>
      </c>
      <c r="D5" s="6"/>
      <c r="E5" s="19">
        <f>IF(AND(E3=TRUE,E4="A"),65,IF(AND(E3=TRUE,E4="B"),76,IF(AND(E3=TRUE,E4="C"),84,IF(AND(E3=FALSE,E4="A"),72,IF(AND(E3=FALSE,E4="B"),81,IF(AND(E3=FALSE,E4="C"),88,0))))))</f>
        <v>88</v>
      </c>
      <c r="F5" s="19">
        <f>IF(AND(F3=TRUE,F4="A"),65,IF(AND(F3=TRUE,F4="B"),76,IF(AND(F3=TRUE,F4="C"),84,IF(AND(F3=FALSE,F4="A"),72,IF(AND(F3=FALSE,F4="B"),81,IF(AND(F3=FALSE,F4="C"),88,0))))))</f>
        <v>88</v>
      </c>
      <c r="G5" s="19">
        <f>IF(AND(G3=TRUE,G4="A"),65,IF(AND(G3=TRUE,G4="B"),76,IF(AND(G3=TRUE,G4="C"),84,IF(AND(G3=FALSE,G4="A"),72,IF(AND(G3=FALSE,G4="B"),81,IF(AND(G3=FALSE,G4="C"),88,0))))))</f>
        <v>88</v>
      </c>
    </row>
    <row r="6" spans="2:13" ht="14.45" hidden="1" customHeight="1">
      <c r="B6" s="52"/>
      <c r="C6" s="4" t="s">
        <v>28</v>
      </c>
      <c r="D6" s="6"/>
      <c r="E6" s="19">
        <f>(23*E5)/(10+0.13*E5)</f>
        <v>94.402985074626855</v>
      </c>
      <c r="F6" s="19">
        <f>(23*F5)/(10+0.13*F5)</f>
        <v>94.402985074626855</v>
      </c>
      <c r="G6" s="19">
        <f>(23*G5)/(10+0.13*G5)</f>
        <v>94.402985074626855</v>
      </c>
    </row>
    <row r="7" spans="2:13" ht="14.45" hidden="1" customHeight="1">
      <c r="B7" s="52"/>
      <c r="C7" s="4" t="s">
        <v>27</v>
      </c>
      <c r="D7" s="6"/>
      <c r="E7" s="19">
        <f>(1/3)*(E6-E5)*(1-2*EXP(-13.86*(E11/100)))+E5</f>
        <v>88.516476604238761</v>
      </c>
      <c r="F7" s="19">
        <f>(1/3)*(F6-F5)*(1-2*EXP(-13.86*(F11/100)))+F5</f>
        <v>88.516476604238761</v>
      </c>
      <c r="G7" s="19">
        <f>(1/3)*(G6-G5)*(1-2*EXP(-13.86*(G11/100)))+G5</f>
        <v>88.516476604238761</v>
      </c>
    </row>
    <row r="8" spans="2:13" ht="14.45" hidden="1" customHeight="1">
      <c r="B8" s="52"/>
      <c r="C8" s="5" t="s">
        <v>0</v>
      </c>
      <c r="D8" s="6"/>
      <c r="E8" s="20">
        <f>IF(E2="Froment",0.43,IF(E2="Epeautre",0.45,IF(E2="Colza",0.38,IF(E2="Escourgeon",0.35,IF(E2="Lin",0.68,IF(E2="Pomme de terre", 0.64, IF(E2="Maïs",0.64,IF(E2="Betterave",0.45,0))))))))</f>
        <v>0.45</v>
      </c>
      <c r="F8" s="20">
        <f>IF(F2="Froment",0.43,IF(F2="Epeautre",0.45,IF(F2="Colza",0.38,IF(F2="Escourgeon",0.35,IF(F2="Lin",0.68,IF(F2="Pomme de terre", 0.64, IF(F2="Maïs",0.64,IF(F2="Betterave",0.45,0))))))))</f>
        <v>0.45</v>
      </c>
      <c r="G8" s="20">
        <f>IF(G2="Froment",0.43,IF(G2="Epeautre",0.45,IF(G2="Colza",0.38,IF(G2="Escourgeon",0.35,IF(G2="Lin",0.68,IF(G2="Pomme de terre", 0.64, IF(G2="Maïs",0.64,IF(G2="Betterave",0.45,0))))))))</f>
        <v>0.45</v>
      </c>
    </row>
    <row r="9" spans="2:13" ht="17.25">
      <c r="B9" s="52"/>
      <c r="C9" s="53" t="s">
        <v>60</v>
      </c>
      <c r="D9" s="54"/>
      <c r="E9" s="3">
        <v>3.1E-2</v>
      </c>
      <c r="F9" s="3">
        <v>3.1E-2</v>
      </c>
      <c r="G9" s="3">
        <v>3.1E-2</v>
      </c>
    </row>
    <row r="10" spans="2:13" ht="21">
      <c r="B10" s="52"/>
      <c r="C10" s="53" t="s">
        <v>43</v>
      </c>
      <c r="D10" s="54"/>
      <c r="E10" s="3">
        <v>220</v>
      </c>
      <c r="F10" s="3">
        <v>220</v>
      </c>
      <c r="G10" s="3">
        <v>220</v>
      </c>
    </row>
    <row r="11" spans="2:13" ht="21.75" thickBot="1">
      <c r="B11" s="52"/>
      <c r="C11" s="53" t="s">
        <v>42</v>
      </c>
      <c r="D11" s="54"/>
      <c r="E11" s="3">
        <v>7</v>
      </c>
      <c r="F11" s="3">
        <v>7</v>
      </c>
      <c r="G11" s="3">
        <v>7</v>
      </c>
      <c r="H11"/>
      <c r="I11"/>
      <c r="J11"/>
      <c r="K11"/>
      <c r="L11"/>
      <c r="M11" s="9"/>
    </row>
    <row r="12" spans="2:13" ht="14.45" hidden="1" customHeight="1">
      <c r="B12" s="52"/>
      <c r="C12" s="4" t="s">
        <v>23</v>
      </c>
      <c r="D12" s="8"/>
      <c r="E12" s="21">
        <f>(ATAN(E11/100))</f>
        <v>6.9886001634642508E-2</v>
      </c>
      <c r="F12" s="21">
        <f>(ATAN(F11/100))</f>
        <v>6.9886001634642508E-2</v>
      </c>
      <c r="G12" s="21">
        <f>(ATAN(G11/100))</f>
        <v>6.9886001634642508E-2</v>
      </c>
      <c r="H12"/>
      <c r="I12"/>
      <c r="J12"/>
      <c r="K12"/>
      <c r="L12"/>
      <c r="M12" s="9"/>
    </row>
    <row r="13" spans="2:13" ht="14.45" hidden="1" customHeight="1">
      <c r="B13" s="52"/>
      <c r="C13" s="4" t="s">
        <v>22</v>
      </c>
      <c r="D13" s="6"/>
      <c r="E13" s="21">
        <f>(SIN(E12)/0.0896)/(3*((SIN(E12))^0.8)+0.56)</f>
        <v>0.85012525118410487</v>
      </c>
      <c r="F13" s="21">
        <f>(SIN(F12)/0.0896)/(3*((SIN(F12))^0.8)+0.56)</f>
        <v>0.85012525118410487</v>
      </c>
      <c r="G13" s="21">
        <f>(SIN(G12)/0.0896)/(3*((SIN(G12))^0.8)+0.56)</f>
        <v>0.85012525118410487</v>
      </c>
      <c r="H13"/>
      <c r="I13"/>
      <c r="J13"/>
      <c r="K13"/>
      <c r="L13" s="9"/>
      <c r="M13"/>
    </row>
    <row r="14" spans="2:13" ht="14.45" hidden="1" customHeight="1">
      <c r="B14" s="52"/>
      <c r="C14" s="4" t="s">
        <v>2</v>
      </c>
      <c r="D14" s="6">
        <f>IF(E11&lt;=1,0.2,IF(AND(E11&gt;1,E11&lt;=3.5),0.3,IF(AND(E11&gt;3.5,E11&lt;=5),0.4,0.5)))</f>
        <v>0.5</v>
      </c>
      <c r="E14" s="21">
        <f>E13/(1+E13)</f>
        <v>0.45949605338342003</v>
      </c>
      <c r="F14" s="21">
        <f>F13/(1+F13)</f>
        <v>0.45949605338342003</v>
      </c>
      <c r="G14" s="21">
        <f>G13/(1+G13)</f>
        <v>0.45949605338342003</v>
      </c>
      <c r="H14"/>
      <c r="I14"/>
      <c r="J14"/>
      <c r="K14"/>
      <c r="L14"/>
      <c r="M14" s="9"/>
    </row>
    <row r="15" spans="2:13" ht="14.45" hidden="1" customHeight="1">
      <c r="B15" s="52"/>
      <c r="C15" s="4" t="s">
        <v>21</v>
      </c>
      <c r="D15" s="6"/>
      <c r="E15" s="21">
        <f>-1.5+(17/(1+EXP(2.3-6.1*SIN(E12))))</f>
        <v>0.76226964147233778</v>
      </c>
      <c r="F15" s="21">
        <f>-1.5+(17/(1+EXP(2.3-6.1*SIN(F12))))</f>
        <v>0.76226964147233778</v>
      </c>
      <c r="G15" s="21">
        <f>-1.5+(17/(1+EXP(2.3-6.1*SIN(G12))))</f>
        <v>0.76226964147233778</v>
      </c>
      <c r="H15"/>
      <c r="I15"/>
      <c r="J15"/>
      <c r="K15"/>
      <c r="L15"/>
      <c r="M15" s="9"/>
    </row>
    <row r="16" spans="2:13" ht="14.45" hidden="1" customHeight="1">
      <c r="B16" s="52"/>
      <c r="C16" s="4" t="s">
        <v>41</v>
      </c>
      <c r="D16" s="6" t="s">
        <v>1</v>
      </c>
      <c r="E16" s="19">
        <f>E10*10/10000</f>
        <v>0.22</v>
      </c>
      <c r="F16" s="19">
        <f>F10*10/10000</f>
        <v>0.22</v>
      </c>
      <c r="G16" s="19">
        <f>G10*10/10000</f>
        <v>0.22</v>
      </c>
      <c r="H16"/>
      <c r="I16"/>
      <c r="J16"/>
      <c r="K16"/>
      <c r="L16" s="9"/>
      <c r="M16"/>
    </row>
    <row r="17" spans="2:7" ht="14.45" hidden="1" customHeight="1">
      <c r="B17" s="52"/>
      <c r="C17" s="4" t="s">
        <v>31</v>
      </c>
      <c r="D17" s="6"/>
      <c r="E17" s="19">
        <f>E23</f>
        <v>19.956256928032559</v>
      </c>
      <c r="F17" s="19">
        <f>F23</f>
        <v>19.956256928032559</v>
      </c>
      <c r="G17" s="19">
        <f>G23</f>
        <v>19.956256928032559</v>
      </c>
    </row>
    <row r="18" spans="2:7" ht="14.45" hidden="1" customHeight="1">
      <c r="B18" s="52"/>
      <c r="C18" s="4" t="s">
        <v>38</v>
      </c>
      <c r="D18" s="6"/>
      <c r="E18" s="19">
        <f>(((E10*0.035)^0.6)/(18*(E11/100)^0.3))*3600</f>
        <v>1511.4542940255994</v>
      </c>
      <c r="F18" s="19">
        <f>(((F10*0.035)^0.6)/(18*(F11/100)^0.3))*3600</f>
        <v>1511.4542940255994</v>
      </c>
      <c r="G18" s="19">
        <f>(((G10*0.035)^0.6)/(18*(G11/100)^0.3))*3600</f>
        <v>1511.4542940255994</v>
      </c>
    </row>
    <row r="19" spans="2:7" ht="14.45" hidden="1" customHeight="1">
      <c r="B19" s="52"/>
      <c r="C19" s="4" t="s">
        <v>36</v>
      </c>
      <c r="D19" s="6"/>
      <c r="E19" s="19">
        <f>(3/8)*E18</f>
        <v>566.79536025959976</v>
      </c>
      <c r="F19" s="19">
        <f>(3/8)*F18</f>
        <v>566.79536025959976</v>
      </c>
      <c r="G19" s="19">
        <f>(3/8)*G18</f>
        <v>566.79536025959976</v>
      </c>
    </row>
    <row r="20" spans="2:7" ht="14.45" hidden="1" customHeight="1">
      <c r="B20" s="52"/>
      <c r="C20" s="4" t="s">
        <v>37</v>
      </c>
      <c r="D20" s="6"/>
      <c r="E20" s="19">
        <f>2.67*E19</f>
        <v>1513.3436118931313</v>
      </c>
      <c r="F20" s="19">
        <f>2.67*F19</f>
        <v>1513.3436118931313</v>
      </c>
      <c r="G20" s="19">
        <f>2.67*G19</f>
        <v>1513.3436118931313</v>
      </c>
    </row>
    <row r="21" spans="2:7" ht="14.45" hidden="1" customHeight="1" thickBot="1">
      <c r="B21" s="52"/>
      <c r="C21" s="11" t="s">
        <v>32</v>
      </c>
      <c r="D21" s="6"/>
      <c r="E21" s="19">
        <f>2*E23/E20</f>
        <v>2.6373728704042428E-2</v>
      </c>
      <c r="F21" s="19">
        <f>2*F23/F20</f>
        <v>2.6373728704042428E-2</v>
      </c>
      <c r="G21" s="19">
        <f>2*G23/G20</f>
        <v>2.6373728704042428E-2</v>
      </c>
    </row>
    <row r="22" spans="2:7" ht="16.5" thickTop="1" thickBot="1">
      <c r="B22" s="48" t="s">
        <v>34</v>
      </c>
      <c r="C22" s="49"/>
      <c r="D22" s="50"/>
      <c r="E22" s="14">
        <v>6</v>
      </c>
      <c r="F22" s="14">
        <v>12</v>
      </c>
      <c r="G22" s="14">
        <v>18</v>
      </c>
    </row>
    <row r="23" spans="2:7" ht="15" hidden="1" customHeight="1" thickTop="1" thickBot="1">
      <c r="B23" s="52" t="s">
        <v>52</v>
      </c>
      <c r="C23" s="43" t="s">
        <v>17</v>
      </c>
      <c r="D23" s="44"/>
      <c r="E23" s="22">
        <f>IF(E27=FALSE,0,(E26/1000*E16*10000))</f>
        <v>19.956256928032559</v>
      </c>
      <c r="F23" s="22">
        <f>IF(F27=FALSE,0,(F26/1000*F16*10000))</f>
        <v>19.956256928032559</v>
      </c>
      <c r="G23" s="22">
        <f>IF(G27=FALSE,0,(G26/1000*G16*10000))</f>
        <v>19.956256928032559</v>
      </c>
    </row>
    <row r="24" spans="2:7" ht="14.45" hidden="1" customHeight="1">
      <c r="B24" s="52"/>
      <c r="C24" s="13" t="s">
        <v>21</v>
      </c>
      <c r="D24" s="12"/>
      <c r="E24" s="23">
        <f>(1000/E7-10)*25.4</f>
        <v>32.952226008323485</v>
      </c>
      <c r="F24" s="23">
        <f>(1000/F7-10)*25.4</f>
        <v>32.952226008323485</v>
      </c>
      <c r="G24" s="23">
        <f>(1000/G7-10)*25.4</f>
        <v>32.952226008323485</v>
      </c>
    </row>
    <row r="25" spans="2:7" ht="14.45" hidden="1" customHeight="1">
      <c r="B25" s="52"/>
      <c r="C25" s="13" t="s">
        <v>29</v>
      </c>
      <c r="D25" s="12"/>
      <c r="E25" s="23">
        <f>0.2*E24</f>
        <v>6.5904452016646973</v>
      </c>
      <c r="F25" s="23">
        <f>0.2*F24</f>
        <v>6.5904452016646973</v>
      </c>
      <c r="G25" s="23">
        <f>0.2*G24</f>
        <v>6.5904452016646973</v>
      </c>
    </row>
    <row r="26" spans="2:7" ht="14.45" hidden="1" customHeight="1">
      <c r="B26" s="52"/>
      <c r="C26" s="13" t="s">
        <v>35</v>
      </c>
      <c r="D26" s="12"/>
      <c r="E26" s="23">
        <f>((E28-E25)^2)/(E28+0.8*E24)</f>
        <v>9.0710258763784353</v>
      </c>
      <c r="F26" s="23">
        <f>((F28-F25)^2)/(F28+0.8*F24)</f>
        <v>9.0710258763784353</v>
      </c>
      <c r="G26" s="23">
        <f>((G28-G25)^2)/(G28+0.8*G24)</f>
        <v>9.0710258763784353</v>
      </c>
    </row>
    <row r="27" spans="2:7" ht="14.45" hidden="1" customHeight="1">
      <c r="B27" s="52"/>
      <c r="C27" s="13" t="s">
        <v>30</v>
      </c>
      <c r="D27" s="12"/>
      <c r="E27" s="23" t="b">
        <f>OR(E25&lt;E28)</f>
        <v>1</v>
      </c>
      <c r="F27" s="23" t="b">
        <f>OR(F25&lt;F28)</f>
        <v>1</v>
      </c>
      <c r="G27" s="23" t="b">
        <f>OR(G25&lt;G28)</f>
        <v>1</v>
      </c>
    </row>
    <row r="28" spans="2:7" ht="14.45" hidden="1" customHeight="1" thickBot="1">
      <c r="B28" s="52"/>
      <c r="C28" s="13" t="s">
        <v>39</v>
      </c>
      <c r="D28" s="12"/>
      <c r="E28" s="23">
        <v>29</v>
      </c>
      <c r="F28" s="23">
        <v>29</v>
      </c>
      <c r="G28" s="23">
        <v>29</v>
      </c>
    </row>
    <row r="29" spans="2:7" ht="21.75" thickTop="1">
      <c r="B29" s="52"/>
      <c r="C29" s="43" t="s">
        <v>57</v>
      </c>
      <c r="D29" s="43"/>
      <c r="E29" s="24">
        <f>11.8*(E23*E21)^0.56*E9*E15*((E10/22.13)^E14)*E8*1000</f>
        <v>251.643381263208</v>
      </c>
      <c r="F29" s="24">
        <f>11.8*(F23*F21)^0.56*F9*F15*((F10/22.13)^F14)*F8*1000</f>
        <v>251.643381263208</v>
      </c>
      <c r="G29" s="24">
        <f>11.8*(G23*G21)^0.56*G9*G15*((G10/22.13)^G14)*G8*1000</f>
        <v>251.643381263208</v>
      </c>
    </row>
    <row r="30" spans="2:7" ht="14.45" hidden="1" customHeight="1">
      <c r="B30" s="52"/>
      <c r="C30" s="45" t="s">
        <v>18</v>
      </c>
      <c r="D30" s="45"/>
      <c r="E30" s="17">
        <f>E29/E23/1000</f>
        <v>1.2609748520010507E-2</v>
      </c>
      <c r="F30" s="17">
        <f>F29/F23/1000</f>
        <v>1.2609748520010507E-2</v>
      </c>
      <c r="G30" s="17">
        <f>G29/G23/1000</f>
        <v>1.2609748520010507E-2</v>
      </c>
    </row>
    <row r="31" spans="2:7" ht="15.75" thickBot="1">
      <c r="B31" s="57"/>
      <c r="C31" s="43" t="s">
        <v>40</v>
      </c>
      <c r="D31" s="43"/>
      <c r="E31" s="18">
        <f>E30*1000</f>
        <v>12.609748520010507</v>
      </c>
      <c r="F31" s="18">
        <f t="shared" ref="F31:G31" si="0">F30*1000</f>
        <v>12.609748520010507</v>
      </c>
      <c r="G31" s="18">
        <f t="shared" si="0"/>
        <v>12.609748520010507</v>
      </c>
    </row>
    <row r="32" spans="2:7" ht="14.45" hidden="1" customHeight="1" thickTop="1" thickBot="1">
      <c r="B32" s="15"/>
      <c r="C32" s="46" t="s">
        <v>8</v>
      </c>
      <c r="D32" s="47"/>
      <c r="E32" s="16">
        <f>IF(AND(E30&lt;0.2251,E5=84),(1/(1+((0.0218*E22^-1.0904)*E30+0.0017*E22^-1.1381)*E16*10000))*100,IF(E5=65,"Pas de bande",IF(AND(E5=72,E16&lt;=0.35,E30&lt;0.2251),100,IF(AND(E5=72,E16&gt;0.35,E30&lt;0.2251),122.96-31.2*E16-1.46*E22-68.41*E30+1.91*E16*E22-75.14*E16*E30+6.8*E22*E30,IF(AND(E5=76,E16&lt;=0.15,E30&lt;0.2251),100,IF(AND(E5=76,E16&gt;0.15,E30&lt;0.2251),(1/(1+(((-0.000000292*E22^3+0.0000124*E22^2-0.000129*E22-0.000395)*E30^2+(0.009*E22^-1.21)*E30+(0.00004*EXP(-0.16*E22))*E30)*E16*10000)))*100,IF(AND(E5=81,E16&lt;=0.015,E30&lt;0.2251),100,IF(AND(E5=81,E16&gt;0.015,E30&lt;0.2251),(1/(1+(((0.0151*E22^-1.14)*E30+0.000755*E22^-1.08)*E16*10000)))*100,IF(AND(E5=88,E30&lt;0.2251),(1/(1+(((0.0343*E22^-1.06)*E30+0.00315*E22^-1.07)*E16*10000)))*100,0)))))))))</f>
        <v>46.268950500744332</v>
      </c>
      <c r="F32" s="16">
        <f>IF(AND(F30&lt;0.2251,F5=84),(1/(1+((0.0218*F22^-1.0904)*F30+0.0017*F22^-1.1381)*F16*10000))*100,IF(F5=65,"Pas de bande",IF(AND(F5=72,F16&lt;=0.35,F30&lt;0.2251),100,IF(AND(F5=72,F16&gt;0.35,F30&lt;0.2251),122.96-31.2*F16-1.46*F22-68.41*F30+1.91*F16*F22-75.14*F16*F30+6.8*F22*F30,IF(AND(F5=76,F16&lt;=0.15,F30&lt;0.2251),100,IF(AND(F5=76,F16&gt;0.15,F30&lt;0.2251),(1/(1+(((-0.000000292*F22^3+0.0000124*F22^2-0.000129*F22-0.000395)*F30^2+(0.009*F22^-1.21)*F30+(0.00004*EXP(-0.16*F22))*F30)*F16*10000)))*100,IF(AND(F5=81,F16&lt;=0.015,F30&lt;0.2251),100,IF(AND(F5=81,F16&gt;0.015,F30&lt;0.2251),(1/(1+(((0.0151*F22^-1.14)*F30+0.000755*F22^-1.08)*F16*10000)))*100,IF(AND(F5=88,F30&lt;0.2251),(1/(1+(((0.0343*F22^-1.06)*F30+0.00315*F22^-1.07)*F16*10000)))*100,0)))))))))</f>
        <v>64.366219421989314</v>
      </c>
      <c r="G32" s="16">
        <f>IF(AND(G30&lt;0.2251,G5=84),(1/(1+((0.0218*G22^-1.0904)*G30+0.0017*G22^-1.1381)*G16*10000))*100,IF(G5=65,"Pas de bande",IF(AND(G5=72,G16&lt;=0.35,G30&lt;0.2251),100,IF(AND(G5=72,G16&gt;0.35,G30&lt;0.2251),122.96-31.2*G16-1.46*G22-68.41*G30+1.91*G16*G22-75.14*G16*G30+6.8*G22*G30,IF(AND(G5=76,G16&lt;=0.15,G30&lt;0.2251),100,IF(AND(G5=76,G16&gt;0.15,G30&lt;0.2251),(1/(1+(((-0.000000292*G22^3+0.0000124*G22^2-0.000129*G22-0.000395)*G30^2+(0.009*G22^-1.21)*G30+(0.00004*EXP(-0.16*G22))*G30)*G16*10000)))*100,IF(AND(G5=81,G16&lt;=0.015,G30&lt;0.2251),100,IF(AND(G5=81,G16&gt;0.015,G30&lt;0.2251),(1/(1+(((0.0151*G22^-1.14)*G30+0.000755*G22^-1.08)*G16*10000)))*100,IF(AND(G5=88,G30&lt;0.2251),(1/(1+(((0.0343*G22^-1.06)*G30+0.00315*G22^-1.07)*G16*10000)))*100,0)))))))))</f>
        <v>73.587568887009098</v>
      </c>
    </row>
    <row r="33" spans="2:13" ht="16.5" thickTop="1" thickBot="1">
      <c r="B33" s="40" t="s">
        <v>51</v>
      </c>
      <c r="C33" s="38" t="s">
        <v>19</v>
      </c>
      <c r="D33" s="39"/>
      <c r="E33" s="7">
        <f>IF(OR(E10&gt;430,E11&gt;20),"Erreur",IF(E23=0,"Pas de bande",IF(OR(E32&lt;100,E32="Pas de bande"),E32,100)))</f>
        <v>46.268950500744332</v>
      </c>
      <c r="F33" s="7">
        <f>IF(OR(F10&gt;430,F11&gt;20),"Erreur",IF(F23=0,"Pas de bande",IF(OR(F32&lt;100,F32="Pas de bande"),F32,100)))</f>
        <v>64.366219421989314</v>
      </c>
      <c r="G33" s="7">
        <f>IF(OR(G10&gt;430,G11&gt;20),"Erreur",IF(G23=0,"Pas de bande",IF(OR(G32&lt;100,G32="Pas de bande"),G32,100)))</f>
        <v>73.587568887009098</v>
      </c>
    </row>
    <row r="34" spans="2:13" ht="22.5" thickTop="1" thickBot="1">
      <c r="B34" s="41"/>
      <c r="C34" s="38" t="s">
        <v>58</v>
      </c>
      <c r="D34" s="39"/>
      <c r="E34" s="25">
        <f>IF(E33&lt;140, E33/100*E29,0)</f>
        <v>116.43275151507305</v>
      </c>
      <c r="F34" s="25">
        <f>IF(F33&lt;140, F33/100*F29,0)</f>
        <v>161.97333094478961</v>
      </c>
      <c r="G34" s="25">
        <f>IF(G33&lt;140, G33/100*G29,0)</f>
        <v>185.17824653666213</v>
      </c>
    </row>
    <row r="35" spans="2:13" ht="22.5" thickTop="1" thickBot="1">
      <c r="B35" s="42"/>
      <c r="C35" s="38" t="s">
        <v>59</v>
      </c>
      <c r="D35" s="39"/>
      <c r="E35" s="26">
        <f>IF(E33&lt;100, E29-E34,0)</f>
        <v>135.21062974813495</v>
      </c>
      <c r="F35" s="26">
        <f>IF(F33&lt;100, F29-F34,0)</f>
        <v>89.67005031841839</v>
      </c>
      <c r="G35" s="26">
        <f>IF(G33&lt;100, G29-G34,0)</f>
        <v>66.46513472654587</v>
      </c>
      <c r="H35"/>
      <c r="I35"/>
      <c r="J35"/>
      <c r="K35"/>
      <c r="L35"/>
      <c r="M35" s="10"/>
    </row>
    <row r="36" spans="2:13" ht="15.75" thickTop="1"/>
    <row r="37" spans="2:13">
      <c r="B37" s="34" t="s">
        <v>44</v>
      </c>
      <c r="C37" s="35"/>
      <c r="D37" s="35"/>
      <c r="E37" s="35"/>
      <c r="F37" s="35"/>
      <c r="G37" s="35"/>
      <c r="H37" s="35"/>
      <c r="I37" s="35"/>
      <c r="J37" s="35"/>
    </row>
    <row r="38" spans="2:13">
      <c r="B38" s="35" t="s">
        <v>61</v>
      </c>
      <c r="C38" s="35"/>
      <c r="D38" s="35"/>
      <c r="E38" s="35"/>
      <c r="F38" s="35"/>
      <c r="G38" s="35"/>
      <c r="H38" s="35"/>
      <c r="I38" s="35"/>
      <c r="J38" s="35"/>
    </row>
    <row r="39" spans="2:13">
      <c r="B39" s="35" t="s">
        <v>56</v>
      </c>
      <c r="C39" s="35"/>
      <c r="D39" s="35"/>
      <c r="E39" s="35"/>
      <c r="F39" s="35"/>
      <c r="G39" s="35"/>
      <c r="H39" s="35"/>
      <c r="I39" s="35"/>
      <c r="J39" s="35"/>
    </row>
    <row r="40" spans="2:13">
      <c r="B40" s="35" t="s">
        <v>54</v>
      </c>
      <c r="C40" s="35"/>
      <c r="D40" s="35"/>
      <c r="E40" s="35"/>
      <c r="F40" s="35"/>
      <c r="G40" s="35"/>
      <c r="H40" s="35"/>
      <c r="I40" s="35"/>
      <c r="J40" s="35"/>
    </row>
    <row r="41" spans="2:13">
      <c r="B41" s="35" t="s">
        <v>55</v>
      </c>
      <c r="C41" s="35"/>
      <c r="D41" s="35"/>
      <c r="E41" s="35"/>
      <c r="F41" s="35"/>
      <c r="G41" s="35"/>
      <c r="H41" s="35"/>
      <c r="I41" s="35"/>
      <c r="J41" s="35"/>
    </row>
    <row r="42" spans="2:13">
      <c r="B42" s="35" t="s">
        <v>48</v>
      </c>
      <c r="C42" s="35"/>
      <c r="D42" s="35"/>
      <c r="E42" s="35"/>
      <c r="F42" s="35"/>
      <c r="G42" s="35"/>
      <c r="H42" s="35"/>
      <c r="I42" s="35"/>
      <c r="J42" s="35"/>
    </row>
    <row r="44" spans="2:13">
      <c r="B44" s="35" t="s">
        <v>70</v>
      </c>
      <c r="C44" s="35"/>
      <c r="D44" s="35"/>
      <c r="E44" s="35"/>
      <c r="F44" s="35"/>
      <c r="G44" s="35"/>
    </row>
    <row r="45" spans="2:13" hidden="1">
      <c r="B45" s="36" t="s">
        <v>3</v>
      </c>
      <c r="C45" s="36" t="s">
        <v>9</v>
      </c>
      <c r="D45" s="36" t="s">
        <v>24</v>
      </c>
      <c r="E45" s="36" t="s">
        <v>25</v>
      </c>
      <c r="F45" s="35"/>
      <c r="G45" s="35"/>
    </row>
    <row r="46" spans="2:13" hidden="1">
      <c r="B46" s="36" t="s">
        <v>14</v>
      </c>
      <c r="C46" s="36" t="s">
        <v>10</v>
      </c>
      <c r="D46" s="36">
        <v>6</v>
      </c>
      <c r="E46" s="36">
        <v>0.01</v>
      </c>
      <c r="F46" s="35"/>
      <c r="G46" s="35"/>
    </row>
    <row r="47" spans="2:13" hidden="1">
      <c r="B47" s="36" t="s">
        <v>15</v>
      </c>
      <c r="C47" s="36" t="s">
        <v>11</v>
      </c>
      <c r="D47" s="36">
        <v>12</v>
      </c>
      <c r="E47" s="36">
        <v>1.6E-2</v>
      </c>
      <c r="F47" s="35"/>
      <c r="G47" s="35"/>
    </row>
    <row r="48" spans="2:13" hidden="1">
      <c r="B48" s="36" t="s">
        <v>12</v>
      </c>
      <c r="C48" s="36" t="s">
        <v>0</v>
      </c>
      <c r="D48" s="36">
        <v>15</v>
      </c>
      <c r="E48" s="36">
        <v>2.3E-2</v>
      </c>
      <c r="F48" s="35"/>
      <c r="G48" s="35"/>
    </row>
    <row r="49" spans="1:7" hidden="1">
      <c r="B49" s="36" t="s">
        <v>16</v>
      </c>
      <c r="C49" s="36"/>
      <c r="D49" s="36">
        <v>18</v>
      </c>
      <c r="E49" s="36">
        <v>3.1E-2</v>
      </c>
      <c r="F49" s="35"/>
      <c r="G49" s="35"/>
    </row>
    <row r="50" spans="1:7" hidden="1">
      <c r="B50" s="36" t="s">
        <v>5</v>
      </c>
      <c r="C50" s="36"/>
      <c r="D50" s="36">
        <v>21</v>
      </c>
      <c r="E50" s="36">
        <v>3.6999999999999998E-2</v>
      </c>
      <c r="F50" s="35"/>
      <c r="G50" s="35"/>
    </row>
    <row r="51" spans="1:7" hidden="1">
      <c r="B51" s="36" t="s">
        <v>4</v>
      </c>
      <c r="C51" s="36"/>
      <c r="D51" s="36"/>
      <c r="E51" s="36">
        <v>0.04</v>
      </c>
      <c r="F51" s="35"/>
      <c r="G51" s="35"/>
    </row>
    <row r="52" spans="1:7" hidden="1">
      <c r="B52" s="36" t="s">
        <v>6</v>
      </c>
      <c r="C52" s="36"/>
      <c r="D52" s="36"/>
      <c r="E52" s="36">
        <v>4.2999999999999997E-2</v>
      </c>
      <c r="F52" s="35"/>
      <c r="G52" s="35"/>
    </row>
    <row r="53" spans="1:7" hidden="1">
      <c r="B53" s="36" t="s">
        <v>7</v>
      </c>
      <c r="C53" s="36"/>
      <c r="D53" s="36"/>
      <c r="E53" s="36">
        <v>4.9000000000000002E-2</v>
      </c>
      <c r="F53" s="35"/>
      <c r="G53" s="35"/>
    </row>
    <row r="54" spans="1:7" hidden="1">
      <c r="B54" s="36"/>
      <c r="C54" s="36"/>
      <c r="D54" s="36"/>
      <c r="E54" s="36">
        <v>5.0999999999999997E-2</v>
      </c>
      <c r="F54" s="35"/>
      <c r="G54" s="35"/>
    </row>
    <row r="55" spans="1:7">
      <c r="B55" s="36" t="s">
        <v>65</v>
      </c>
      <c r="C55" s="36"/>
      <c r="D55" s="36"/>
      <c r="E55" s="36"/>
      <c r="F55" s="35"/>
      <c r="G55" s="35"/>
    </row>
    <row r="56" spans="1:7">
      <c r="B56"/>
      <c r="C56"/>
      <c r="D56"/>
      <c r="E56"/>
    </row>
    <row r="57" spans="1:7">
      <c r="B57"/>
      <c r="C57"/>
      <c r="D57"/>
      <c r="E57"/>
    </row>
    <row r="58" spans="1:7">
      <c r="B58"/>
      <c r="C58"/>
      <c r="D58"/>
      <c r="E58"/>
    </row>
    <row r="59" spans="1:7">
      <c r="B59"/>
      <c r="C59"/>
      <c r="D59"/>
      <c r="E59"/>
    </row>
    <row r="60" spans="1:7">
      <c r="A60" s="27" t="s">
        <v>45</v>
      </c>
      <c r="B60"/>
      <c r="C60" s="28" t="s">
        <v>46</v>
      </c>
      <c r="D60"/>
      <c r="E60"/>
    </row>
    <row r="61" spans="1:7">
      <c r="B61"/>
      <c r="C61"/>
      <c r="D61"/>
      <c r="E61"/>
    </row>
    <row r="62" spans="1:7">
      <c r="B62"/>
      <c r="C62"/>
      <c r="D62"/>
      <c r="E62"/>
    </row>
    <row r="63" spans="1:7">
      <c r="B63"/>
      <c r="C63"/>
      <c r="D63"/>
      <c r="E63"/>
    </row>
    <row r="64" spans="1:7">
      <c r="B64"/>
      <c r="C64"/>
      <c r="D64"/>
      <c r="E64"/>
    </row>
    <row r="65" spans="1:5">
      <c r="B65"/>
      <c r="C65"/>
      <c r="D65"/>
      <c r="E65"/>
    </row>
    <row r="66" spans="1:5">
      <c r="B66"/>
      <c r="C66"/>
      <c r="D66"/>
      <c r="E66"/>
    </row>
    <row r="67" spans="1:5">
      <c r="B67"/>
      <c r="C67" s="37" t="s">
        <v>53</v>
      </c>
      <c r="D67" s="37"/>
      <c r="E67" s="37"/>
    </row>
    <row r="68" spans="1:5">
      <c r="B68"/>
      <c r="C68"/>
      <c r="D68"/>
      <c r="E68"/>
    </row>
    <row r="69" spans="1:5">
      <c r="B69"/>
      <c r="C69"/>
      <c r="D69"/>
      <c r="E69"/>
    </row>
    <row r="70" spans="1:5">
      <c r="B70"/>
      <c r="C70"/>
      <c r="D70"/>
      <c r="E70"/>
    </row>
    <row r="71" spans="1:5">
      <c r="B71"/>
      <c r="C71"/>
      <c r="D71"/>
    </row>
    <row r="72" spans="1:5">
      <c r="A72" s="27" t="s">
        <v>47</v>
      </c>
      <c r="B72"/>
      <c r="C72"/>
      <c r="D72" s="29" t="s">
        <v>49</v>
      </c>
    </row>
    <row r="73" spans="1:5">
      <c r="B73"/>
      <c r="C73"/>
      <c r="D73"/>
      <c r="E73"/>
    </row>
    <row r="74" spans="1:5">
      <c r="B74"/>
      <c r="C74"/>
      <c r="D74"/>
      <c r="E74"/>
    </row>
    <row r="75" spans="1:5">
      <c r="B75"/>
      <c r="C75"/>
      <c r="D75"/>
      <c r="E75"/>
    </row>
    <row r="76" spans="1:5">
      <c r="B76"/>
      <c r="C76"/>
      <c r="D76"/>
      <c r="E76"/>
    </row>
    <row r="77" spans="1:5">
      <c r="B77"/>
      <c r="C77"/>
      <c r="D77"/>
      <c r="E77"/>
    </row>
    <row r="78" spans="1:5">
      <c r="B78"/>
      <c r="C78"/>
      <c r="D78"/>
      <c r="E78"/>
    </row>
    <row r="79" spans="1:5">
      <c r="B79"/>
      <c r="C79"/>
      <c r="D79"/>
      <c r="E79"/>
    </row>
    <row r="80" spans="1:5">
      <c r="B80"/>
      <c r="C80"/>
      <c r="D80"/>
      <c r="E80"/>
    </row>
    <row r="81" spans="2:9">
      <c r="B81"/>
      <c r="C81"/>
      <c r="D81"/>
      <c r="E81"/>
    </row>
    <row r="82" spans="2:9">
      <c r="B82"/>
      <c r="C82"/>
      <c r="D82"/>
      <c r="E82"/>
    </row>
    <row r="83" spans="2:9">
      <c r="B83"/>
      <c r="C83"/>
      <c r="D83"/>
      <c r="E83"/>
    </row>
    <row r="84" spans="2:9">
      <c r="B84"/>
      <c r="C84"/>
      <c r="D84"/>
      <c r="E84"/>
    </row>
    <row r="85" spans="2:9">
      <c r="B85" s="35" t="s">
        <v>50</v>
      </c>
      <c r="C85" s="36"/>
      <c r="D85" s="36"/>
      <c r="E85" s="36"/>
      <c r="F85" s="35"/>
      <c r="G85" s="35"/>
      <c r="H85" s="35"/>
      <c r="I85" s="35"/>
    </row>
    <row r="86" spans="2:9">
      <c r="B86" s="35" t="s">
        <v>66</v>
      </c>
      <c r="C86" s="36"/>
      <c r="D86" s="36"/>
      <c r="E86" s="36"/>
      <c r="F86" s="35"/>
      <c r="G86" s="35"/>
      <c r="H86" s="35"/>
      <c r="I86" s="35"/>
    </row>
    <row r="87" spans="2:9">
      <c r="B87" s="35"/>
      <c r="C87" s="36"/>
      <c r="D87" s="36"/>
      <c r="E87" s="36"/>
      <c r="F87" s="35"/>
      <c r="G87" s="35"/>
      <c r="H87" s="35"/>
      <c r="I87" s="35"/>
    </row>
    <row r="88" spans="2:9">
      <c r="B88" s="35" t="s">
        <v>67</v>
      </c>
      <c r="C88" s="35"/>
      <c r="D88" s="35"/>
      <c r="E88" s="35"/>
      <c r="F88" s="35"/>
      <c r="G88" s="35"/>
      <c r="H88" s="35"/>
      <c r="I88" s="35"/>
    </row>
    <row r="89" spans="2:9">
      <c r="B89" s="35"/>
      <c r="C89" s="35"/>
      <c r="D89" s="35"/>
      <c r="E89" s="35"/>
      <c r="F89" s="35"/>
      <c r="G89" s="35"/>
      <c r="H89" s="35"/>
      <c r="I89" s="35"/>
    </row>
    <row r="90" spans="2:9">
      <c r="B90" s="35"/>
      <c r="C90" s="35"/>
      <c r="D90" s="35"/>
      <c r="E90" s="35"/>
      <c r="F90" s="35"/>
      <c r="G90" s="35"/>
      <c r="H90" s="35"/>
      <c r="I90" s="35"/>
    </row>
    <row r="91" spans="2:9">
      <c r="B91" s="35" t="s">
        <v>68</v>
      </c>
      <c r="C91" s="35"/>
      <c r="D91" s="35"/>
      <c r="E91" s="35"/>
      <c r="F91" s="35"/>
      <c r="G91" s="35"/>
      <c r="H91" s="35"/>
      <c r="I91" s="35"/>
    </row>
    <row r="92" spans="2:9">
      <c r="B92" s="35"/>
      <c r="C92" s="35"/>
      <c r="D92" s="35"/>
      <c r="E92" s="35"/>
      <c r="F92" s="35"/>
      <c r="G92" s="35"/>
      <c r="H92" s="35"/>
      <c r="I92" s="35"/>
    </row>
    <row r="93" spans="2:9" ht="23.25" customHeight="1">
      <c r="B93" s="35" t="s">
        <v>69</v>
      </c>
      <c r="C93" s="35"/>
      <c r="D93" s="35"/>
      <c r="E93" s="35"/>
      <c r="F93" s="35"/>
      <c r="G93" s="35"/>
      <c r="H93" s="35"/>
      <c r="I93" s="35"/>
    </row>
    <row r="94" spans="2:9">
      <c r="B94" s="35"/>
      <c r="C94" s="35"/>
      <c r="D94" s="35"/>
      <c r="E94" s="35"/>
      <c r="F94" s="35"/>
      <c r="G94" s="35"/>
      <c r="H94" s="35"/>
      <c r="I94" s="35"/>
    </row>
    <row r="95" spans="2:9">
      <c r="B95" s="35"/>
      <c r="C95" s="35"/>
      <c r="D95" s="35"/>
      <c r="E95" s="35"/>
      <c r="F95" s="35"/>
      <c r="G95" s="35"/>
      <c r="H95" s="35"/>
      <c r="I95" s="35"/>
    </row>
  </sheetData>
  <sheetProtection selectLockedCells="1"/>
  <customSheetViews>
    <customSheetView guid="{BAF461AD-106E-40FA-A5D0-1EF6EE1E1DB0}" hiddenRows="1">
      <selection sqref="A1:XFD1048576"/>
      <pageMargins left="0.7" right="0.7" top="0.75" bottom="0.75" header="0.3" footer="0.3"/>
      <pageSetup paperSize="9" orientation="portrait" horizontalDpi="4294967293" verticalDpi="0" r:id="rId1"/>
    </customSheetView>
  </customSheetViews>
  <mergeCells count="17">
    <mergeCell ref="B22:D22"/>
    <mergeCell ref="B2:B21"/>
    <mergeCell ref="C33:D33"/>
    <mergeCell ref="C11:D11"/>
    <mergeCell ref="C2:D2"/>
    <mergeCell ref="C4:D4"/>
    <mergeCell ref="C9:D9"/>
    <mergeCell ref="C10:D10"/>
    <mergeCell ref="C31:D31"/>
    <mergeCell ref="B23:B31"/>
    <mergeCell ref="C34:D34"/>
    <mergeCell ref="B33:B35"/>
    <mergeCell ref="C23:D23"/>
    <mergeCell ref="C29:D29"/>
    <mergeCell ref="C30:D30"/>
    <mergeCell ref="C35:D35"/>
    <mergeCell ref="C32:D32"/>
  </mergeCells>
  <pageMargins left="0.7" right="0.7" top="0.75" bottom="0.75" header="0.3" footer="0.3"/>
  <pageSetup paperSize="8" orientation="portrait" horizontalDpi="4294967293" r:id="rId2"/>
  <drawing r:id="rId3"/>
  <legacyDrawing r:id="rId4"/>
  <oleObjects>
    <oleObject progId="Equation.3" shapeId="1034" r:id="rId5"/>
    <oleObject progId="Equation.3" shapeId="1040" r:id="rId6"/>
    <oleObject progId="Equation.3" shapeId="1039" r:id="rId7"/>
    <oleObject progId="Equation.3" shapeId="1038" r:id="rId8"/>
    <oleObject progId="Equation.3" shapeId="1035" r:id="rId9"/>
  </oleObjects>
  <extLst xmlns:x14="http://schemas.microsoft.com/office/spreadsheetml/2009/9/main">
    <ext uri="{CCE6A557-97BC-4b89-ADB6-D9C93CAAB3DF}">
      <x14:dataValidations xmlns:xm="http://schemas.microsoft.com/office/excel/2006/main" count="8">
        <x14:dataValidation type="list" allowBlank="1" showInputMessage="1" showErrorMessage="1" prompt="Choisir la culture la plus sensible à l'érosion qui intervient dans la rotation. Les cultures sont classées par ordre décroissant de sensibilité.">
          <x14:formula1>
            <xm:f>Feuil1!$A$2:$A$9</xm:f>
          </x14:formula1>
          <xm:sqref>E2</xm:sqref>
        </x14:dataValidation>
        <x14:dataValidation type="list" allowBlank="1" showInputMessage="1" showErrorMessage="1" prompt="Choisir le groupe hydrologique du sol">
          <x14:formula1>
            <xm:f>Feuil1!$B$2:$B$4</xm:f>
          </x14:formula1>
          <xm:sqref>E4</xm:sqref>
        </x14:dataValidation>
        <x14:dataValidation type="list" allowBlank="1" showInputMessage="1" showErrorMessage="1" prompt="Choisir la valeur d'érodibilité du sol">
          <x14:formula1>
            <xm:f>Feuil1!$D$2:$D$10</xm:f>
          </x14:formula1>
          <xm:sqref>E9</xm:sqref>
        </x14:dataValidation>
        <x14:dataValidation type="list" allowBlank="1" showInputMessage="1" showErrorMessage="1" prompt="Choisir la largeur de bande à tester">
          <x14:formula1>
            <xm:f>Feuil1!$C$2:$C$6</xm:f>
          </x14:formula1>
          <xm:sqref>E22</xm:sqref>
        </x14:dataValidation>
        <x14:dataValidation type="list" allowBlank="1" showInputMessage="1" showErrorMessage="1">
          <x14:formula1>
            <xm:f>Feuil1!$B$2:$B$4</xm:f>
          </x14:formula1>
          <xm:sqref>F4 G4</xm:sqref>
        </x14:dataValidation>
        <x14:dataValidation type="list" allowBlank="1" showInputMessage="1" showErrorMessage="1">
          <x14:formula1>
            <xm:f>Feuil1!$A$2:$A$9</xm:f>
          </x14:formula1>
          <xm:sqref>F2 G2</xm:sqref>
        </x14:dataValidation>
        <x14:dataValidation type="list" allowBlank="1" showInputMessage="1" showErrorMessage="1">
          <x14:formula1>
            <xm:f>Feuil1!$C$2:$C$6</xm:f>
          </x14:formula1>
          <xm:sqref>F22 G22</xm:sqref>
        </x14:dataValidation>
        <x14:dataValidation type="list" allowBlank="1" showInputMessage="1" showErrorMessage="1">
          <x14:formula1>
            <xm:f>Feuil1!$D$2:$D$10</xm:f>
          </x14:formula1>
          <xm:sqref>F9 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D5" sqref="D5"/>
    </sheetView>
  </sheetViews>
  <sheetFormatPr baseColWidth="10" defaultRowHeight="15"/>
  <cols>
    <col min="4" max="4" width="19.28515625" customWidth="1"/>
  </cols>
  <sheetData>
    <row r="1" spans="1:4">
      <c r="A1" s="31" t="s">
        <v>3</v>
      </c>
      <c r="B1" s="31" t="s">
        <v>9</v>
      </c>
      <c r="C1" s="31" t="s">
        <v>24</v>
      </c>
      <c r="D1" s="31" t="s">
        <v>25</v>
      </c>
    </row>
    <row r="2" spans="1:4">
      <c r="A2" s="30" t="s">
        <v>14</v>
      </c>
      <c r="B2" s="30" t="s">
        <v>10</v>
      </c>
      <c r="C2" s="30">
        <v>6</v>
      </c>
      <c r="D2" s="30">
        <v>0.01</v>
      </c>
    </row>
    <row r="3" spans="1:4">
      <c r="A3" s="30" t="s">
        <v>15</v>
      </c>
      <c r="B3" s="30" t="s">
        <v>11</v>
      </c>
      <c r="C3" s="30">
        <v>12</v>
      </c>
      <c r="D3" s="30">
        <v>1.6E-2</v>
      </c>
    </row>
    <row r="4" spans="1:4">
      <c r="A4" s="30" t="s">
        <v>12</v>
      </c>
      <c r="B4" s="30" t="s">
        <v>0</v>
      </c>
      <c r="C4" s="30">
        <v>15</v>
      </c>
      <c r="D4" s="30">
        <v>2.3E-2</v>
      </c>
    </row>
    <row r="5" spans="1:4">
      <c r="A5" s="30" t="s">
        <v>16</v>
      </c>
      <c r="B5" s="30"/>
      <c r="C5" s="30">
        <v>18</v>
      </c>
      <c r="D5" s="30">
        <v>3.1E-2</v>
      </c>
    </row>
    <row r="6" spans="1:4">
      <c r="A6" s="30" t="s">
        <v>5</v>
      </c>
      <c r="B6" s="30"/>
      <c r="C6" s="30">
        <v>21</v>
      </c>
      <c r="D6" s="30">
        <v>3.6999999999999998E-2</v>
      </c>
    </row>
    <row r="7" spans="1:4">
      <c r="A7" s="30" t="s">
        <v>4</v>
      </c>
      <c r="B7" s="30"/>
      <c r="C7" s="30"/>
      <c r="D7" s="30">
        <v>0.04</v>
      </c>
    </row>
    <row r="8" spans="1:4">
      <c r="A8" s="30" t="s">
        <v>6</v>
      </c>
      <c r="B8" s="30"/>
      <c r="C8" s="30"/>
      <c r="D8" s="30">
        <v>4.2999999999999997E-2</v>
      </c>
    </row>
    <row r="9" spans="1:4">
      <c r="A9" s="30" t="s">
        <v>7</v>
      </c>
      <c r="B9" s="30"/>
      <c r="C9" s="30"/>
      <c r="D9" s="30">
        <v>4.9000000000000002E-2</v>
      </c>
    </row>
    <row r="10" spans="1:4">
      <c r="A10" s="30"/>
      <c r="B10" s="30"/>
      <c r="C10" s="30"/>
      <c r="D10" s="30">
        <v>5.0999999999999997E-2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Efficacité BE</vt:lpstr>
      <vt:lpstr>Feuil1</vt:lpstr>
    </vt:vector>
  </TitlesOfParts>
  <Company>Université catholique de Louvain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47594</cp:lastModifiedBy>
  <cp:lastPrinted>2014-02-05T08:55:04Z</cp:lastPrinted>
  <dcterms:created xsi:type="dcterms:W3CDTF">2012-05-31T12:13:05Z</dcterms:created>
  <dcterms:modified xsi:type="dcterms:W3CDTF">2018-06-18T09:53:21Z</dcterms:modified>
</cp:coreProperties>
</file>