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defaultThemeVersion="124226"/>
  <bookViews>
    <workbookView xWindow="480" yWindow="300" windowWidth="18495" windowHeight="11700" tabRatio="743" firstSheet="4" activeTab="10"/>
  </bookViews>
  <sheets>
    <sheet name="Introduction et jurisprudence" sheetId="1" r:id="rId1"/>
    <sheet name="identification PNN + codes" sheetId="8" r:id="rId2"/>
    <sheet name="méthodes d'analyse (1)" sheetId="9" r:id="rId3"/>
    <sheet name="méthodes d'analyse (2)" sheetId="2" r:id="rId4"/>
    <sheet name="méthodes d'analyse (3)" sheetId="7" r:id="rId5"/>
    <sheet name="VL - synthèse" sheetId="10" r:id="rId6"/>
    <sheet name="VL - détail VLH (Risc Human)" sheetId="11" r:id="rId7"/>
    <sheet name="VL - détail VLH (S-Risk)" sheetId="16" r:id="rId8"/>
    <sheet name="VL - détail VLnappe" sheetId="12" r:id="rId9"/>
    <sheet name="VL - détail paramètres et VTR" sheetId="15" r:id="rId10"/>
    <sheet name="VL - PNN sans VL" sheetId="13" r:id="rId11"/>
  </sheets>
  <externalReferences>
    <externalReference r:id="rId12"/>
    <externalReference r:id="rId13"/>
    <externalReference r:id="rId14"/>
  </externalReferences>
  <definedNames>
    <definedName name="_xlnm._FilterDatabase" localSheetId="6" hidden="1">'VL - détail VLH (Risc Human)'!$C$118:$C$167</definedName>
    <definedName name="_xlnm._FilterDatabase" localSheetId="7" hidden="1">'VL - détail VLH (S-Risk)'!$C$131:$C$180</definedName>
    <definedName name="_xlnm.Criteria" localSheetId="6">'VL - détail VLH (Risc Human)'!$C$4</definedName>
    <definedName name="_xlnm.Criteria" localSheetId="7">'VL - détail VLH (S-Risk)'!$C$4</definedName>
    <definedName name="_xlnm.Print_Titles" localSheetId="6">'VL - détail VLH (Risc Human)'!$2:$4</definedName>
    <definedName name="_xlnm.Print_Titles" localSheetId="7">'VL - détail VLH (S-Risk)'!$2:$4</definedName>
    <definedName name="_xlnm.Print_Titles" localSheetId="8">'VL - détail VLnappe'!$B:$D,'VL - détail VLnappe'!$2:$2</definedName>
    <definedName name="_xlnm.Print_Titles" localSheetId="5">'VL - synthèse'!$B:$D,'VL - synthèse'!$3:$3</definedName>
    <definedName name="ListePolluants" localSheetId="9">'[1]Liste Polluants'!$A$1:$A$72</definedName>
    <definedName name="ListePolluants">'[2]Liste Polluants'!$A$1:$A$72</definedName>
    <definedName name="Propriétés" localSheetId="1">#REF!</definedName>
    <definedName name="Propriétés" localSheetId="2">#REF!</definedName>
    <definedName name="Propriétés" localSheetId="9">#REF!</definedName>
    <definedName name="Propriétés" localSheetId="7">#REF!</definedName>
    <definedName name="Propriétés">#REF!</definedName>
    <definedName name="TypeAquifère" localSheetId="9">'[1]Valeurs Ksat'!$A$4:$A$10</definedName>
    <definedName name="TypeAquifère">'[2]Valeurs Ksat'!$A$4:$A$10</definedName>
    <definedName name="_xlnm.Print_Area" localSheetId="4">'méthodes d''analyse (3)'!#REF!</definedName>
    <definedName name="_xlnm.Print_Area" localSheetId="6">'VL - détail VLH (Risc Human)'!$B$2:$P$265</definedName>
    <definedName name="_xlnm.Print_Area" localSheetId="7">'VL - détail VLH (S-Risk)'!$B$2:$P$279</definedName>
    <definedName name="_xlnm.Print_Area" localSheetId="8">'VL - détail VLnappe'!$B$2:$S$266</definedName>
  </definedNames>
  <calcPr calcId="125725"/>
</workbook>
</file>

<file path=xl/calcChain.xml><?xml version="1.0" encoding="utf-8"?>
<calcChain xmlns="http://schemas.openxmlformats.org/spreadsheetml/2006/main">
  <c r="E4" i="10"/>
  <c r="E5"/>
  <c r="E6"/>
  <c r="E7"/>
  <c r="E8"/>
  <c r="E9"/>
  <c r="E10"/>
  <c r="E11"/>
  <c r="E12"/>
  <c r="E13"/>
  <c r="E14"/>
  <c r="I42" i="16"/>
  <c r="I43"/>
  <c r="I44"/>
  <c r="I45"/>
  <c r="I46"/>
  <c r="I47"/>
  <c r="I48"/>
  <c r="H42"/>
  <c r="H43"/>
  <c r="H44"/>
  <c r="H45"/>
  <c r="H46"/>
  <c r="H47"/>
  <c r="H48"/>
  <c r="P351" i="15" l="1"/>
  <c r="N351"/>
  <c r="P349"/>
  <c r="N349"/>
  <c r="P347"/>
  <c r="N347"/>
  <c r="P345"/>
  <c r="N345"/>
  <c r="P343"/>
  <c r="N343"/>
  <c r="P341"/>
  <c r="N341"/>
  <c r="P339"/>
  <c r="N339"/>
  <c r="P337"/>
  <c r="N337"/>
  <c r="P335"/>
  <c r="N335"/>
  <c r="P333"/>
  <c r="N333"/>
  <c r="P331"/>
  <c r="N331"/>
  <c r="P329"/>
  <c r="N329"/>
  <c r="O327"/>
  <c r="N327"/>
  <c r="P325"/>
  <c r="N325"/>
  <c r="P323"/>
  <c r="N323"/>
  <c r="P321"/>
  <c r="N321"/>
  <c r="P319"/>
  <c r="N319"/>
  <c r="P317"/>
  <c r="N317"/>
  <c r="W315"/>
  <c r="V315"/>
  <c r="P315"/>
  <c r="N315"/>
  <c r="O313"/>
  <c r="N313"/>
  <c r="P311"/>
  <c r="N311"/>
  <c r="P307"/>
  <c r="N307"/>
  <c r="P305"/>
  <c r="N305"/>
  <c r="P303"/>
  <c r="N303"/>
  <c r="W301"/>
  <c r="V301"/>
  <c r="P301"/>
  <c r="N301"/>
  <c r="P299"/>
  <c r="N299"/>
  <c r="P297"/>
  <c r="N297"/>
  <c r="P295"/>
  <c r="N295"/>
  <c r="P293"/>
  <c r="N293"/>
  <c r="P291"/>
  <c r="N291"/>
  <c r="P289"/>
  <c r="N289"/>
  <c r="W287"/>
  <c r="V287"/>
  <c r="P287"/>
  <c r="N287"/>
  <c r="W285"/>
  <c r="V285"/>
  <c r="P285"/>
  <c r="N285"/>
  <c r="V283"/>
  <c r="P283"/>
  <c r="N283"/>
  <c r="V281"/>
  <c r="P281"/>
  <c r="N281"/>
  <c r="P279"/>
  <c r="N279"/>
  <c r="P277"/>
  <c r="N277"/>
  <c r="P275"/>
  <c r="N275"/>
  <c r="P271"/>
  <c r="N271"/>
  <c r="P269"/>
  <c r="N269"/>
  <c r="P267"/>
  <c r="N267"/>
  <c r="P265"/>
  <c r="N265"/>
  <c r="P263"/>
  <c r="N263"/>
  <c r="P261"/>
  <c r="N261"/>
  <c r="P259"/>
  <c r="N259"/>
  <c r="P257"/>
  <c r="N257"/>
  <c r="P255"/>
  <c r="N255"/>
  <c r="P253"/>
  <c r="N253"/>
  <c r="P251"/>
  <c r="N251"/>
  <c r="P249"/>
  <c r="N249"/>
  <c r="P247"/>
  <c r="N247"/>
  <c r="P245"/>
  <c r="N245"/>
  <c r="P243"/>
  <c r="P241"/>
  <c r="N241"/>
  <c r="P239"/>
  <c r="N239"/>
  <c r="N237"/>
  <c r="P235"/>
  <c r="N235"/>
  <c r="P233"/>
  <c r="P231"/>
  <c r="N231"/>
  <c r="P229"/>
  <c r="N229"/>
  <c r="P227"/>
  <c r="N227"/>
  <c r="P225"/>
  <c r="N225"/>
  <c r="P223"/>
  <c r="N223"/>
  <c r="P221"/>
  <c r="N221"/>
  <c r="P219"/>
  <c r="N219"/>
  <c r="P217"/>
  <c r="N217"/>
  <c r="V215"/>
  <c r="P215"/>
  <c r="N215"/>
  <c r="V213"/>
  <c r="P213"/>
  <c r="N213"/>
  <c r="W211"/>
  <c r="V211"/>
  <c r="P211"/>
  <c r="N211"/>
  <c r="W209"/>
  <c r="V209"/>
  <c r="P209"/>
  <c r="N209"/>
  <c r="V207"/>
  <c r="P207"/>
  <c r="N207"/>
  <c r="W205"/>
  <c r="V205"/>
  <c r="P205"/>
  <c r="N205"/>
  <c r="W203"/>
  <c r="V203"/>
  <c r="P203"/>
  <c r="N203"/>
  <c r="P199"/>
  <c r="W197"/>
  <c r="V197"/>
  <c r="P197"/>
  <c r="N197"/>
  <c r="V195"/>
  <c r="P195"/>
  <c r="N195"/>
  <c r="V193"/>
  <c r="P193"/>
  <c r="N193"/>
  <c r="W191"/>
  <c r="V191"/>
  <c r="P191"/>
  <c r="N191"/>
  <c r="P189"/>
  <c r="N189"/>
  <c r="P187"/>
  <c r="N187"/>
  <c r="P183"/>
  <c r="N183"/>
  <c r="P181"/>
  <c r="N181"/>
  <c r="P179"/>
  <c r="P177"/>
  <c r="P175"/>
  <c r="N175"/>
  <c r="P173"/>
  <c r="N173"/>
  <c r="P171"/>
  <c r="N171"/>
  <c r="P169"/>
  <c r="P165"/>
  <c r="P163"/>
  <c r="P161"/>
  <c r="P159"/>
  <c r="P157"/>
  <c r="N157"/>
  <c r="W155"/>
  <c r="V155"/>
  <c r="P155"/>
  <c r="N155"/>
  <c r="P153"/>
  <c r="P149"/>
  <c r="N149"/>
  <c r="P147"/>
  <c r="N147"/>
  <c r="P145"/>
  <c r="N145"/>
  <c r="P143"/>
  <c r="N143"/>
  <c r="V141"/>
  <c r="P141"/>
  <c r="N141"/>
  <c r="V139"/>
  <c r="P139"/>
  <c r="N139"/>
  <c r="U137"/>
  <c r="P137"/>
  <c r="N137"/>
  <c r="P135"/>
  <c r="N135"/>
  <c r="P133"/>
  <c r="N133"/>
  <c r="P131"/>
  <c r="N131"/>
  <c r="N129"/>
  <c r="P127"/>
  <c r="N127"/>
  <c r="P125"/>
  <c r="N125"/>
  <c r="W123"/>
  <c r="O123"/>
  <c r="N123"/>
  <c r="W121"/>
  <c r="O121"/>
  <c r="N121"/>
  <c r="O119"/>
  <c r="N119"/>
  <c r="P117"/>
  <c r="N117"/>
  <c r="P115"/>
  <c r="N115"/>
  <c r="O113"/>
  <c r="N113"/>
  <c r="V105"/>
  <c r="P105"/>
  <c r="N105"/>
  <c r="V103"/>
  <c r="P103"/>
  <c r="N103"/>
  <c r="W101"/>
  <c r="V101"/>
  <c r="P101"/>
  <c r="N101"/>
  <c r="W99"/>
  <c r="V99"/>
  <c r="P99"/>
  <c r="N99"/>
  <c r="W97"/>
  <c r="V97"/>
  <c r="P97"/>
  <c r="N97"/>
  <c r="P95"/>
  <c r="N95"/>
  <c r="P93"/>
  <c r="N93"/>
  <c r="P91"/>
  <c r="N91"/>
  <c r="P89"/>
  <c r="N89"/>
  <c r="P87"/>
  <c r="N87"/>
  <c r="P85"/>
  <c r="N85"/>
  <c r="W83"/>
  <c r="V83"/>
  <c r="P83"/>
  <c r="N83"/>
  <c r="P81"/>
  <c r="N81"/>
  <c r="P79"/>
  <c r="N79"/>
  <c r="P77"/>
  <c r="N77"/>
  <c r="P75"/>
  <c r="N75"/>
  <c r="P73"/>
  <c r="N73"/>
  <c r="P71"/>
  <c r="N71"/>
  <c r="P69"/>
  <c r="N69"/>
  <c r="P67"/>
  <c r="N67"/>
  <c r="P65"/>
  <c r="N65"/>
  <c r="W63"/>
  <c r="V63"/>
  <c r="P63"/>
  <c r="N63"/>
  <c r="P61"/>
  <c r="N61"/>
  <c r="P59"/>
  <c r="N59"/>
  <c r="P57"/>
  <c r="N57"/>
  <c r="P55"/>
  <c r="N55"/>
  <c r="P53"/>
  <c r="N53"/>
  <c r="P51"/>
  <c r="N51"/>
  <c r="W49"/>
  <c r="V49"/>
  <c r="P49"/>
  <c r="N49"/>
  <c r="P45"/>
  <c r="N45"/>
  <c r="P43"/>
  <c r="N43"/>
  <c r="W41"/>
  <c r="V41"/>
  <c r="P41"/>
  <c r="N41"/>
  <c r="W39"/>
  <c r="V39"/>
  <c r="P39"/>
  <c r="N39"/>
  <c r="W37"/>
  <c r="V37"/>
  <c r="P37"/>
  <c r="N37"/>
  <c r="W35"/>
  <c r="V35"/>
  <c r="P35"/>
  <c r="N35"/>
  <c r="W33"/>
  <c r="V33"/>
  <c r="P33"/>
  <c r="N33"/>
  <c r="W31"/>
  <c r="V31"/>
  <c r="P31"/>
  <c r="N31"/>
  <c r="W29"/>
  <c r="V29"/>
  <c r="P29"/>
  <c r="N29"/>
  <c r="W27"/>
  <c r="V27"/>
  <c r="O27"/>
  <c r="N27"/>
  <c r="W11"/>
  <c r="P119" l="1"/>
  <c r="P27"/>
  <c r="P113"/>
  <c r="P121"/>
  <c r="P123"/>
  <c r="P313"/>
  <c r="P327"/>
  <c r="P122" i="12"/>
  <c r="P88"/>
  <c r="I41" i="16"/>
  <c r="H41"/>
  <c r="I40"/>
  <c r="H40"/>
  <c r="I39"/>
  <c r="H39"/>
  <c r="I38"/>
  <c r="H38"/>
  <c r="I37"/>
  <c r="H37"/>
  <c r="I36"/>
  <c r="H36"/>
  <c r="I35"/>
  <c r="H35"/>
  <c r="I34"/>
  <c r="H34"/>
  <c r="I33"/>
  <c r="H33"/>
  <c r="I32"/>
  <c r="H32"/>
  <c r="I31"/>
  <c r="H31"/>
  <c r="I30"/>
  <c r="H30"/>
  <c r="I29"/>
  <c r="H29"/>
  <c r="I28"/>
  <c r="H28"/>
  <c r="I27"/>
  <c r="H27"/>
  <c r="P248" i="11"/>
  <c r="P245"/>
  <c r="O245"/>
  <c r="P244"/>
  <c r="O244"/>
  <c r="P233"/>
  <c r="O233"/>
  <c r="P232"/>
  <c r="O232"/>
  <c r="P231"/>
  <c r="O231"/>
  <c r="P230"/>
  <c r="O230"/>
  <c r="P229"/>
  <c r="O229"/>
  <c r="P228"/>
  <c r="O228"/>
  <c r="P227"/>
  <c r="O227"/>
  <c r="P226"/>
  <c r="O226"/>
  <c r="P225"/>
  <c r="O225"/>
  <c r="P224"/>
  <c r="O224"/>
  <c r="P223"/>
  <c r="O223"/>
  <c r="P222"/>
  <c r="O222"/>
  <c r="P221"/>
  <c r="O221"/>
  <c r="P220"/>
  <c r="O220"/>
  <c r="P219"/>
  <c r="O219"/>
  <c r="P218"/>
  <c r="O218"/>
  <c r="P217"/>
  <c r="O217"/>
  <c r="P216"/>
  <c r="O216"/>
  <c r="P215"/>
  <c r="O215"/>
  <c r="P213"/>
  <c r="O213"/>
  <c r="P212"/>
  <c r="O212"/>
  <c r="P211"/>
  <c r="O211"/>
  <c r="P209"/>
  <c r="O209"/>
  <c r="P208"/>
  <c r="O208"/>
  <c r="P207"/>
  <c r="O207"/>
  <c r="P206"/>
  <c r="O206"/>
  <c r="P205"/>
  <c r="O205"/>
  <c r="P204"/>
  <c r="O204"/>
  <c r="P203"/>
  <c r="O203"/>
  <c r="P202"/>
  <c r="O202"/>
  <c r="P201"/>
  <c r="O201"/>
  <c r="P200"/>
  <c r="O200"/>
  <c r="P199"/>
  <c r="O199"/>
  <c r="P198"/>
  <c r="O198"/>
  <c r="P197"/>
  <c r="O197"/>
  <c r="P196"/>
  <c r="O196"/>
  <c r="P195"/>
  <c r="O195"/>
  <c r="P194"/>
  <c r="O194"/>
  <c r="P193"/>
  <c r="O193"/>
  <c r="P191"/>
  <c r="O191"/>
  <c r="P190"/>
  <c r="O190"/>
  <c r="P189"/>
  <c r="O189"/>
  <c r="P188"/>
  <c r="O188"/>
  <c r="P187"/>
  <c r="O187"/>
  <c r="P186"/>
  <c r="O186"/>
  <c r="P184"/>
  <c r="O184"/>
  <c r="P183"/>
  <c r="O183"/>
  <c r="P181"/>
  <c r="O181"/>
  <c r="P180"/>
  <c r="O180"/>
  <c r="P179"/>
  <c r="O179"/>
  <c r="P178"/>
  <c r="O178"/>
  <c r="P177"/>
  <c r="O177"/>
  <c r="P175"/>
  <c r="O175"/>
  <c r="P174"/>
  <c r="O174"/>
  <c r="P172"/>
  <c r="O172"/>
  <c r="P168"/>
  <c r="O168"/>
  <c r="P167"/>
  <c r="O167"/>
  <c r="P166"/>
  <c r="O166"/>
  <c r="P165"/>
  <c r="O165"/>
  <c r="P163"/>
  <c r="O163"/>
  <c r="P161"/>
  <c r="O161"/>
  <c r="P160"/>
  <c r="O160"/>
  <c r="P159"/>
  <c r="O159"/>
  <c r="P144"/>
  <c r="O144"/>
  <c r="P141"/>
  <c r="O141"/>
  <c r="P139"/>
  <c r="O139"/>
  <c r="P138"/>
  <c r="O138"/>
  <c r="P136"/>
  <c r="O136"/>
  <c r="P130"/>
  <c r="O130"/>
  <c r="P124"/>
  <c r="O124"/>
  <c r="P122"/>
  <c r="O122"/>
  <c r="P121"/>
  <c r="O121"/>
  <c r="P119"/>
  <c r="O119"/>
  <c r="P118"/>
  <c r="O118"/>
  <c r="P116"/>
  <c r="O116"/>
  <c r="P115"/>
  <c r="O115"/>
  <c r="P112"/>
  <c r="O112"/>
  <c r="P111"/>
  <c r="O111"/>
  <c r="P110"/>
  <c r="O110"/>
  <c r="P99"/>
  <c r="O99"/>
  <c r="P98"/>
  <c r="O98"/>
  <c r="P93"/>
  <c r="O93"/>
  <c r="P92"/>
  <c r="O92"/>
  <c r="P91"/>
  <c r="O91"/>
  <c r="P90"/>
  <c r="O90"/>
  <c r="P89"/>
  <c r="O89"/>
  <c r="P88"/>
  <c r="O88"/>
  <c r="P87"/>
  <c r="O87"/>
  <c r="P86"/>
  <c r="O86"/>
  <c r="P85"/>
  <c r="O85"/>
  <c r="P84"/>
  <c r="O84"/>
  <c r="P75"/>
  <c r="O75"/>
  <c r="P73"/>
  <c r="O73"/>
  <c r="P72"/>
  <c r="O72"/>
  <c r="P71"/>
  <c r="O71"/>
  <c r="P70"/>
  <c r="O70"/>
  <c r="P69"/>
  <c r="O69"/>
  <c r="P68"/>
  <c r="O68"/>
  <c r="P67"/>
  <c r="O67"/>
  <c r="P66"/>
  <c r="O66"/>
  <c r="P65"/>
  <c r="O65"/>
  <c r="P64"/>
  <c r="O64"/>
  <c r="P63"/>
  <c r="O63"/>
  <c r="P62"/>
  <c r="O62"/>
  <c r="P61"/>
  <c r="O61"/>
  <c r="P59"/>
  <c r="O59"/>
  <c r="P58"/>
  <c r="O58"/>
  <c r="P57"/>
  <c r="O57"/>
  <c r="P56"/>
  <c r="O56"/>
  <c r="P55"/>
  <c r="O55"/>
  <c r="P54"/>
  <c r="O54"/>
  <c r="P53"/>
  <c r="O53"/>
  <c r="P52"/>
  <c r="O52"/>
  <c r="P50"/>
  <c r="O50"/>
  <c r="P47"/>
  <c r="O47"/>
  <c r="P46"/>
  <c r="O46"/>
  <c r="P40"/>
  <c r="O40"/>
  <c r="P37"/>
  <c r="O37"/>
  <c r="P36"/>
  <c r="O36"/>
  <c r="P35"/>
  <c r="O35"/>
  <c r="P33"/>
  <c r="O33"/>
  <c r="P32"/>
  <c r="O32"/>
  <c r="P31"/>
  <c r="O31"/>
  <c r="P30"/>
  <c r="O30"/>
  <c r="P29"/>
  <c r="O29"/>
  <c r="P28"/>
  <c r="O28"/>
  <c r="P27"/>
  <c r="O27"/>
  <c r="P26"/>
  <c r="O26"/>
  <c r="P25"/>
  <c r="O25"/>
  <c r="P24"/>
  <c r="O24"/>
  <c r="P23"/>
  <c r="O23"/>
  <c r="P22"/>
  <c r="O22"/>
  <c r="P21"/>
  <c r="O21"/>
  <c r="P19"/>
  <c r="O19"/>
  <c r="P18"/>
  <c r="O18"/>
  <c r="P17"/>
  <c r="O17"/>
  <c r="P16"/>
  <c r="O16"/>
  <c r="P15"/>
  <c r="O15"/>
  <c r="P14"/>
  <c r="O14"/>
  <c r="P13"/>
  <c r="O13"/>
  <c r="P12"/>
  <c r="O12"/>
  <c r="P11"/>
  <c r="O11"/>
  <c r="P10"/>
  <c r="O10"/>
  <c r="P9"/>
  <c r="O9"/>
  <c r="P8"/>
  <c r="O8"/>
  <c r="P7"/>
  <c r="O7"/>
  <c r="P6"/>
  <c r="O6"/>
  <c r="P5"/>
  <c r="O5"/>
  <c r="N259" i="10"/>
  <c r="J247"/>
  <c r="I247"/>
  <c r="H247"/>
  <c r="G247"/>
  <c r="E247"/>
  <c r="N244" s="1"/>
  <c r="J244"/>
  <c r="I244"/>
  <c r="H244"/>
  <c r="G244"/>
  <c r="E244"/>
  <c r="J243"/>
  <c r="I243"/>
  <c r="H243"/>
  <c r="G243"/>
  <c r="E243"/>
  <c r="N240" s="1"/>
  <c r="J240"/>
  <c r="N239" s="1"/>
  <c r="J239"/>
  <c r="N238" s="1"/>
  <c r="J238"/>
  <c r="J237"/>
  <c r="N236" s="1"/>
  <c r="J236"/>
  <c r="N235" s="1"/>
  <c r="J235"/>
  <c r="N234" s="1"/>
  <c r="J234"/>
  <c r="J233"/>
  <c r="N232" s="1"/>
  <c r="J232"/>
  <c r="I232"/>
  <c r="H232"/>
  <c r="G232"/>
  <c r="E232"/>
  <c r="J231"/>
  <c r="I231"/>
  <c r="H231"/>
  <c r="G231"/>
  <c r="E231"/>
  <c r="N230" s="1"/>
  <c r="J230"/>
  <c r="I230"/>
  <c r="H230"/>
  <c r="G230"/>
  <c r="E230"/>
  <c r="J229"/>
  <c r="I229"/>
  <c r="H229"/>
  <c r="G229"/>
  <c r="E229"/>
  <c r="N228" s="1"/>
  <c r="J228"/>
  <c r="I228"/>
  <c r="H228"/>
  <c r="G228"/>
  <c r="E228"/>
  <c r="J227"/>
  <c r="I227"/>
  <c r="H227"/>
  <c r="G227"/>
  <c r="E227"/>
  <c r="N226" s="1"/>
  <c r="J226"/>
  <c r="I226"/>
  <c r="H226"/>
  <c r="G226"/>
  <c r="E226"/>
  <c r="J225"/>
  <c r="I225"/>
  <c r="H225"/>
  <c r="G225"/>
  <c r="E225"/>
  <c r="N224" s="1"/>
  <c r="J224"/>
  <c r="I224"/>
  <c r="H224"/>
  <c r="G224"/>
  <c r="E224"/>
  <c r="J223"/>
  <c r="I223"/>
  <c r="H223"/>
  <c r="G223"/>
  <c r="E223"/>
  <c r="J222"/>
  <c r="I222"/>
  <c r="H222"/>
  <c r="G222"/>
  <c r="E222"/>
  <c r="J221"/>
  <c r="I221"/>
  <c r="H221"/>
  <c r="G221"/>
  <c r="E221"/>
  <c r="N219" s="1"/>
  <c r="J219"/>
  <c r="J218"/>
  <c r="I218"/>
  <c r="H218"/>
  <c r="G218"/>
  <c r="E218"/>
  <c r="N217" s="1"/>
  <c r="J217"/>
  <c r="I217"/>
  <c r="H217"/>
  <c r="G217"/>
  <c r="E217"/>
  <c r="J216"/>
  <c r="I216"/>
  <c r="H216"/>
  <c r="G216"/>
  <c r="E216"/>
  <c r="N215" s="1"/>
  <c r="J215"/>
  <c r="I215"/>
  <c r="H215"/>
  <c r="G215"/>
  <c r="E215"/>
  <c r="J214"/>
  <c r="I214"/>
  <c r="H214"/>
  <c r="G214"/>
  <c r="E214"/>
  <c r="N213" s="1"/>
  <c r="J213"/>
  <c r="J212"/>
  <c r="I212"/>
  <c r="H212"/>
  <c r="G212"/>
  <c r="E212"/>
  <c r="N211" s="1"/>
  <c r="J211"/>
  <c r="I211"/>
  <c r="H211"/>
  <c r="G211"/>
  <c r="E211"/>
  <c r="J210"/>
  <c r="I210"/>
  <c r="H210"/>
  <c r="G210"/>
  <c r="E210"/>
  <c r="N209" s="1"/>
  <c r="J209"/>
  <c r="J208"/>
  <c r="I208"/>
  <c r="H208"/>
  <c r="G208"/>
  <c r="E208"/>
  <c r="N207" s="1"/>
  <c r="J207"/>
  <c r="I207"/>
  <c r="H207"/>
  <c r="G207"/>
  <c r="E207"/>
  <c r="J206"/>
  <c r="I206"/>
  <c r="H206"/>
  <c r="G206"/>
  <c r="E206"/>
  <c r="J205"/>
  <c r="I205"/>
  <c r="H205"/>
  <c r="G205"/>
  <c r="E205"/>
  <c r="J204"/>
  <c r="N203" s="1"/>
  <c r="J203"/>
  <c r="I203"/>
  <c r="H203"/>
  <c r="G203"/>
  <c r="E203"/>
  <c r="J202"/>
  <c r="I202"/>
  <c r="H202"/>
  <c r="G202"/>
  <c r="E202"/>
  <c r="N201" s="1"/>
  <c r="J201"/>
  <c r="I201"/>
  <c r="H201"/>
  <c r="G201"/>
  <c r="E201"/>
  <c r="J200"/>
  <c r="I200"/>
  <c r="H200"/>
  <c r="G200"/>
  <c r="E200"/>
  <c r="N199" s="1"/>
  <c r="J199"/>
  <c r="I199"/>
  <c r="H199"/>
  <c r="G199"/>
  <c r="E199"/>
  <c r="J198"/>
  <c r="I198"/>
  <c r="H198"/>
  <c r="G198"/>
  <c r="E198"/>
  <c r="N197" s="1"/>
  <c r="J197"/>
  <c r="I197"/>
  <c r="H197"/>
  <c r="G197"/>
  <c r="E197"/>
  <c r="J196"/>
  <c r="I196"/>
  <c r="H196"/>
  <c r="G196"/>
  <c r="E196"/>
  <c r="N195" s="1"/>
  <c r="J195"/>
  <c r="I195"/>
  <c r="H195"/>
  <c r="G195"/>
  <c r="E195"/>
  <c r="J194"/>
  <c r="I194"/>
  <c r="H194"/>
  <c r="G194"/>
  <c r="E194"/>
  <c r="N193" s="1"/>
  <c r="J193"/>
  <c r="I193"/>
  <c r="H193"/>
  <c r="G193"/>
  <c r="E193"/>
  <c r="J192"/>
  <c r="I192"/>
  <c r="H192"/>
  <c r="G192"/>
  <c r="E192"/>
  <c r="N191" s="1"/>
  <c r="J191"/>
  <c r="J190"/>
  <c r="I190"/>
  <c r="H190"/>
  <c r="G190"/>
  <c r="E190"/>
  <c r="N189" s="1"/>
  <c r="J189"/>
  <c r="I189"/>
  <c r="H189"/>
  <c r="G189"/>
  <c r="E189"/>
  <c r="J188"/>
  <c r="I188"/>
  <c r="H188"/>
  <c r="G188"/>
  <c r="E188"/>
  <c r="N187" s="1"/>
  <c r="J187"/>
  <c r="I187"/>
  <c r="H187"/>
  <c r="G187"/>
  <c r="E187"/>
  <c r="J186"/>
  <c r="N185" s="1"/>
  <c r="J185"/>
  <c r="I185"/>
  <c r="H185"/>
  <c r="G185"/>
  <c r="E185"/>
  <c r="J184"/>
  <c r="N183" s="1"/>
  <c r="J183"/>
  <c r="I183"/>
  <c r="H183"/>
  <c r="G183"/>
  <c r="E183"/>
  <c r="J182"/>
  <c r="I182"/>
  <c r="H182"/>
  <c r="G182"/>
  <c r="E182"/>
  <c r="N181" s="1"/>
  <c r="J181"/>
  <c r="J180"/>
  <c r="I180"/>
  <c r="H180"/>
  <c r="G180"/>
  <c r="E180"/>
  <c r="N179" s="1"/>
  <c r="J179"/>
  <c r="I179"/>
  <c r="H179"/>
  <c r="G179"/>
  <c r="E179"/>
  <c r="J178"/>
  <c r="I178"/>
  <c r="H178"/>
  <c r="G178"/>
  <c r="E178"/>
  <c r="J177"/>
  <c r="I177"/>
  <c r="H177"/>
  <c r="G177"/>
  <c r="E177"/>
  <c r="J176"/>
  <c r="I176"/>
  <c r="H176"/>
  <c r="G176"/>
  <c r="E176"/>
  <c r="N175" s="1"/>
  <c r="J175"/>
  <c r="J174"/>
  <c r="I174"/>
  <c r="H174"/>
  <c r="G174"/>
  <c r="E174"/>
  <c r="N173" s="1"/>
  <c r="J173"/>
  <c r="I173"/>
  <c r="H173"/>
  <c r="G173"/>
  <c r="E173"/>
  <c r="J172"/>
  <c r="N171" s="1"/>
  <c r="J171"/>
  <c r="I171"/>
  <c r="H171"/>
  <c r="G171"/>
  <c r="E171"/>
  <c r="J170"/>
  <c r="N169" s="1"/>
  <c r="J169"/>
  <c r="J168"/>
  <c r="N167" s="1"/>
  <c r="J167"/>
  <c r="I167"/>
  <c r="H167"/>
  <c r="G167"/>
  <c r="E167"/>
  <c r="J166"/>
  <c r="I166"/>
  <c r="H166"/>
  <c r="G166"/>
  <c r="E166"/>
  <c r="N165" s="1"/>
  <c r="J165"/>
  <c r="I165"/>
  <c r="H165"/>
  <c r="G165"/>
  <c r="E165"/>
  <c r="J164"/>
  <c r="I164"/>
  <c r="H164"/>
  <c r="G164"/>
  <c r="E164"/>
  <c r="N163" s="1"/>
  <c r="J163"/>
  <c r="J162"/>
  <c r="I162"/>
  <c r="H162"/>
  <c r="G162"/>
  <c r="E162"/>
  <c r="N161" s="1"/>
  <c r="J161"/>
  <c r="J160"/>
  <c r="I160"/>
  <c r="H160"/>
  <c r="G160"/>
  <c r="E160"/>
  <c r="N159" s="1"/>
  <c r="J159"/>
  <c r="I159"/>
  <c r="H159"/>
  <c r="G159"/>
  <c r="E159"/>
  <c r="J158"/>
  <c r="I158"/>
  <c r="H158"/>
  <c r="G158"/>
  <c r="E158"/>
  <c r="N157" s="1"/>
  <c r="J157"/>
  <c r="J156"/>
  <c r="J155"/>
  <c r="J152"/>
  <c r="N151" s="1"/>
  <c r="J151"/>
  <c r="J150"/>
  <c r="J149"/>
  <c r="J148"/>
  <c r="J147"/>
  <c r="J146"/>
  <c r="J145"/>
  <c r="J144"/>
  <c r="N143" s="1"/>
  <c r="J143"/>
  <c r="I143"/>
  <c r="H143"/>
  <c r="G143"/>
  <c r="E143"/>
  <c r="J142"/>
  <c r="J141"/>
  <c r="J140"/>
  <c r="I140"/>
  <c r="H140"/>
  <c r="G140"/>
  <c r="E140"/>
  <c r="J139"/>
  <c r="J138"/>
  <c r="I138"/>
  <c r="H138"/>
  <c r="G138"/>
  <c r="E138"/>
  <c r="N137" s="1"/>
  <c r="J137"/>
  <c r="I137"/>
  <c r="H137"/>
  <c r="G137"/>
  <c r="E137"/>
  <c r="J135"/>
  <c r="I135"/>
  <c r="H135"/>
  <c r="G135"/>
  <c r="E135"/>
  <c r="N133" s="1"/>
  <c r="J133"/>
  <c r="J131"/>
  <c r="N130"/>
  <c r="J129"/>
  <c r="N135" l="1"/>
  <c r="N140"/>
  <c r="N158"/>
  <c r="N162"/>
  <c r="N166"/>
  <c r="N170"/>
  <c r="N174"/>
  <c r="N178"/>
  <c r="N182"/>
  <c r="N186"/>
  <c r="N190"/>
  <c r="N194"/>
  <c r="N198"/>
  <c r="N202"/>
  <c r="N206"/>
  <c r="N210"/>
  <c r="N214"/>
  <c r="N218"/>
  <c r="N223"/>
  <c r="N227"/>
  <c r="N231"/>
  <c r="N177"/>
  <c r="N205"/>
  <c r="N222"/>
  <c r="N131"/>
  <c r="N138"/>
  <c r="N150"/>
  <c r="N160"/>
  <c r="N164"/>
  <c r="N168"/>
  <c r="N172"/>
  <c r="N176"/>
  <c r="N180"/>
  <c r="N184"/>
  <c r="N188"/>
  <c r="N192"/>
  <c r="N196"/>
  <c r="N200"/>
  <c r="N204"/>
  <c r="N208"/>
  <c r="N212"/>
  <c r="N216"/>
  <c r="N221"/>
  <c r="N225"/>
  <c r="N229"/>
  <c r="N233"/>
  <c r="N237"/>
  <c r="N243"/>
  <c r="N247"/>
  <c r="I129"/>
  <c r="H129"/>
  <c r="G129"/>
  <c r="E129"/>
  <c r="J128"/>
  <c r="J127"/>
  <c r="J126"/>
  <c r="N125" s="1"/>
  <c r="J125"/>
  <c r="J124"/>
  <c r="J123"/>
  <c r="I123"/>
  <c r="H123"/>
  <c r="G123"/>
  <c r="E123"/>
  <c r="J122"/>
  <c r="N121" s="1"/>
  <c r="J121"/>
  <c r="I121"/>
  <c r="H121"/>
  <c r="G121"/>
  <c r="E121"/>
  <c r="N120" s="1"/>
  <c r="J120"/>
  <c r="I120"/>
  <c r="H120"/>
  <c r="G120"/>
  <c r="E120"/>
  <c r="J119"/>
  <c r="N118" s="1"/>
  <c r="J118"/>
  <c r="I118"/>
  <c r="H118"/>
  <c r="G118"/>
  <c r="E118"/>
  <c r="N117" s="1"/>
  <c r="J117"/>
  <c r="I117"/>
  <c r="H117"/>
  <c r="G117"/>
  <c r="E117"/>
  <c r="N116" s="1"/>
  <c r="J116"/>
  <c r="J115"/>
  <c r="I115"/>
  <c r="H115"/>
  <c r="G115"/>
  <c r="E115"/>
  <c r="N114" s="1"/>
  <c r="J114"/>
  <c r="I114"/>
  <c r="H114"/>
  <c r="G114"/>
  <c r="E114"/>
  <c r="N113" s="1"/>
  <c r="J113"/>
  <c r="N112" s="1"/>
  <c r="J112"/>
  <c r="J111"/>
  <c r="I111"/>
  <c r="H111"/>
  <c r="G111"/>
  <c r="E111"/>
  <c r="N110" s="1"/>
  <c r="J110"/>
  <c r="I110"/>
  <c r="H110"/>
  <c r="G110"/>
  <c r="E110"/>
  <c r="N109" s="1"/>
  <c r="J109"/>
  <c r="I109"/>
  <c r="H109"/>
  <c r="G109"/>
  <c r="E109"/>
  <c r="N108" s="1"/>
  <c r="J108"/>
  <c r="J107"/>
  <c r="J105"/>
  <c r="J104"/>
  <c r="J103"/>
  <c r="J102"/>
  <c r="J101"/>
  <c r="N100" s="1"/>
  <c r="J100"/>
  <c r="N99" s="1"/>
  <c r="J99"/>
  <c r="J98"/>
  <c r="I98"/>
  <c r="H98"/>
  <c r="G98"/>
  <c r="E98"/>
  <c r="J97"/>
  <c r="I97"/>
  <c r="H97"/>
  <c r="G97"/>
  <c r="E97"/>
  <c r="N96" s="1"/>
  <c r="J96"/>
  <c r="N95" s="1"/>
  <c r="J95"/>
  <c r="J94"/>
  <c r="J93"/>
  <c r="N92" s="1"/>
  <c r="J92"/>
  <c r="I92"/>
  <c r="H92"/>
  <c r="G92"/>
  <c r="E92"/>
  <c r="N91" s="1"/>
  <c r="J91"/>
  <c r="I91"/>
  <c r="H91"/>
  <c r="G91"/>
  <c r="E91"/>
  <c r="J90"/>
  <c r="I90"/>
  <c r="H90"/>
  <c r="G90"/>
  <c r="E90"/>
  <c r="N89" s="1"/>
  <c r="J89"/>
  <c r="I89"/>
  <c r="H89"/>
  <c r="G89"/>
  <c r="E89"/>
  <c r="N88" s="1"/>
  <c r="J88"/>
  <c r="I88"/>
  <c r="H88"/>
  <c r="G88"/>
  <c r="E88"/>
  <c r="N87" s="1"/>
  <c r="J87"/>
  <c r="I87"/>
  <c r="H87"/>
  <c r="G87"/>
  <c r="E87"/>
  <c r="J86"/>
  <c r="I86"/>
  <c r="H86"/>
  <c r="G86"/>
  <c r="E86"/>
  <c r="N85" s="1"/>
  <c r="J85"/>
  <c r="I85"/>
  <c r="H85"/>
  <c r="G85"/>
  <c r="E85"/>
  <c r="N84" s="1"/>
  <c r="J84"/>
  <c r="I84"/>
  <c r="H84"/>
  <c r="G84"/>
  <c r="E84"/>
  <c r="N83" s="1"/>
  <c r="J83"/>
  <c r="I83"/>
  <c r="H83"/>
  <c r="G83"/>
  <c r="E83"/>
  <c r="J82"/>
  <c r="N81" s="1"/>
  <c r="J81"/>
  <c r="N79" s="1"/>
  <c r="J79"/>
  <c r="N77" s="1"/>
  <c r="J77"/>
  <c r="J75"/>
  <c r="I74"/>
  <c r="H74"/>
  <c r="G74"/>
  <c r="E74"/>
  <c r="N73" s="1"/>
  <c r="J73"/>
  <c r="I72"/>
  <c r="H72"/>
  <c r="G72"/>
  <c r="E72"/>
  <c r="N71" s="1"/>
  <c r="J71"/>
  <c r="I71"/>
  <c r="H71"/>
  <c r="G71"/>
  <c r="E71"/>
  <c r="N70" s="1"/>
  <c r="J70"/>
  <c r="I70"/>
  <c r="H70"/>
  <c r="G70"/>
  <c r="E70"/>
  <c r="J69"/>
  <c r="I69"/>
  <c r="H69"/>
  <c r="G69"/>
  <c r="E69"/>
  <c r="N68" s="1"/>
  <c r="J68"/>
  <c r="I68"/>
  <c r="H68"/>
  <c r="G68"/>
  <c r="E68"/>
  <c r="N67" s="1"/>
  <c r="J67"/>
  <c r="I67"/>
  <c r="H67"/>
  <c r="G67"/>
  <c r="E67"/>
  <c r="N66" s="1"/>
  <c r="J66"/>
  <c r="I66"/>
  <c r="H66"/>
  <c r="G66"/>
  <c r="E66"/>
  <c r="J65"/>
  <c r="I65"/>
  <c r="H65"/>
  <c r="G65"/>
  <c r="E65"/>
  <c r="N64" s="1"/>
  <c r="J64"/>
  <c r="I64"/>
  <c r="H64"/>
  <c r="G64"/>
  <c r="E64"/>
  <c r="N63" s="1"/>
  <c r="J63"/>
  <c r="I63"/>
  <c r="H63"/>
  <c r="G63"/>
  <c r="E63"/>
  <c r="N62" s="1"/>
  <c r="J62"/>
  <c r="I62"/>
  <c r="H62"/>
  <c r="G62"/>
  <c r="E62"/>
  <c r="J61"/>
  <c r="I61"/>
  <c r="H61"/>
  <c r="G61"/>
  <c r="E61"/>
  <c r="N60" s="1"/>
  <c r="J60"/>
  <c r="I60"/>
  <c r="H60"/>
  <c r="G60"/>
  <c r="E60"/>
  <c r="J59"/>
  <c r="N58" s="1"/>
  <c r="J58"/>
  <c r="I58"/>
  <c r="H58"/>
  <c r="G58"/>
  <c r="E58"/>
  <c r="J57"/>
  <c r="I57"/>
  <c r="H57"/>
  <c r="G57"/>
  <c r="E57"/>
  <c r="N56" s="1"/>
  <c r="J56"/>
  <c r="I56"/>
  <c r="H56"/>
  <c r="G56"/>
  <c r="E56"/>
  <c r="N55" s="1"/>
  <c r="J55"/>
  <c r="I55"/>
  <c r="H55"/>
  <c r="G55"/>
  <c r="E55"/>
  <c r="N54" s="1"/>
  <c r="J54"/>
  <c r="I54"/>
  <c r="H54"/>
  <c r="G54"/>
  <c r="E54"/>
  <c r="J53"/>
  <c r="I53"/>
  <c r="H53"/>
  <c r="G53"/>
  <c r="E53"/>
  <c r="N52" s="1"/>
  <c r="J52"/>
  <c r="I52"/>
  <c r="H52"/>
  <c r="G52"/>
  <c r="E52"/>
  <c r="N51" s="1"/>
  <c r="J51"/>
  <c r="I51"/>
  <c r="H51"/>
  <c r="G51"/>
  <c r="E51"/>
  <c r="N49" s="1"/>
  <c r="J49"/>
  <c r="J46"/>
  <c r="N45" s="1"/>
  <c r="J45"/>
  <c r="N39" s="1"/>
  <c r="J39"/>
  <c r="N36" s="1"/>
  <c r="J36"/>
  <c r="J35"/>
  <c r="I35"/>
  <c r="H35"/>
  <c r="G35"/>
  <c r="E35"/>
  <c r="N34" s="1"/>
  <c r="J34"/>
  <c r="I34"/>
  <c r="H34"/>
  <c r="G34"/>
  <c r="E34"/>
  <c r="J33"/>
  <c r="N32" s="1"/>
  <c r="J32"/>
  <c r="I32"/>
  <c r="H32"/>
  <c r="G32"/>
  <c r="E32"/>
  <c r="N31"/>
  <c r="I31"/>
  <c r="H31"/>
  <c r="G31"/>
  <c r="E31"/>
  <c r="N30" s="1"/>
  <c r="J30"/>
  <c r="I30"/>
  <c r="H30"/>
  <c r="G30"/>
  <c r="E30"/>
  <c r="N29" s="1"/>
  <c r="J29"/>
  <c r="I29"/>
  <c r="H29"/>
  <c r="G29"/>
  <c r="E29"/>
  <c r="N28" s="1"/>
  <c r="J28"/>
  <c r="I28"/>
  <c r="H28"/>
  <c r="G28"/>
  <c r="E28"/>
  <c r="J27"/>
  <c r="N26" s="1"/>
  <c r="J26"/>
  <c r="N25" s="1"/>
  <c r="J25"/>
  <c r="I25"/>
  <c r="H25"/>
  <c r="G25"/>
  <c r="E25"/>
  <c r="I23"/>
  <c r="H23"/>
  <c r="G23"/>
  <c r="E23"/>
  <c r="N22" s="1"/>
  <c r="J22"/>
  <c r="J21"/>
  <c r="I21"/>
  <c r="H21"/>
  <c r="G21"/>
  <c r="E21"/>
  <c r="N20" s="1"/>
  <c r="J20"/>
  <c r="N19" s="1"/>
  <c r="J19"/>
  <c r="N18" s="1"/>
  <c r="J18"/>
  <c r="J17"/>
  <c r="N16" s="1"/>
  <c r="J16"/>
  <c r="I16"/>
  <c r="H16"/>
  <c r="G16"/>
  <c r="E16"/>
  <c r="N15" s="1"/>
  <c r="J15"/>
  <c r="N14" s="1"/>
  <c r="J14"/>
  <c r="I14"/>
  <c r="H14"/>
  <c r="G14"/>
  <c r="J13"/>
  <c r="I13"/>
  <c r="H13"/>
  <c r="G13"/>
  <c r="N12"/>
  <c r="J12"/>
  <c r="I12"/>
  <c r="H12"/>
  <c r="G12"/>
  <c r="N11"/>
  <c r="J11"/>
  <c r="I11"/>
  <c r="H11"/>
  <c r="G11"/>
  <c r="N10"/>
  <c r="J10"/>
  <c r="I10"/>
  <c r="H10"/>
  <c r="G10"/>
  <c r="J9"/>
  <c r="I9"/>
  <c r="H9"/>
  <c r="G9"/>
  <c r="N8"/>
  <c r="J8"/>
  <c r="I8"/>
  <c r="H8"/>
  <c r="G8"/>
  <c r="N7"/>
  <c r="J7"/>
  <c r="I7"/>
  <c r="H7"/>
  <c r="G7"/>
  <c r="N6"/>
  <c r="J6"/>
  <c r="I6"/>
  <c r="H6"/>
  <c r="G6"/>
  <c r="J5"/>
  <c r="I5"/>
  <c r="H5"/>
  <c r="G5"/>
  <c r="N4"/>
  <c r="J4"/>
  <c r="I4"/>
  <c r="H4"/>
  <c r="G4"/>
  <c r="N5" l="1"/>
  <c r="N9"/>
  <c r="N13"/>
  <c r="N17"/>
  <c r="N21"/>
  <c r="N27"/>
  <c r="N35"/>
  <c r="N46"/>
  <c r="N53"/>
  <c r="N57"/>
  <c r="N61"/>
  <c r="N65"/>
  <c r="N69"/>
  <c r="N75"/>
  <c r="N82"/>
  <c r="N86"/>
  <c r="N90"/>
  <c r="N94"/>
  <c r="N98"/>
  <c r="N102"/>
  <c r="N107"/>
  <c r="N111"/>
  <c r="N115"/>
  <c r="N123"/>
  <c r="N93"/>
  <c r="N97"/>
  <c r="N101"/>
  <c r="N122"/>
</calcChain>
</file>

<file path=xl/sharedStrings.xml><?xml version="1.0" encoding="utf-8"?>
<sst xmlns="http://schemas.openxmlformats.org/spreadsheetml/2006/main" count="7885" uniqueCount="1967">
  <si>
    <t>Code</t>
  </si>
  <si>
    <t>"Famille de paramètres"</t>
  </si>
  <si>
    <t>Remarque</t>
  </si>
  <si>
    <t>Composés organiques volatils</t>
  </si>
  <si>
    <t>Hydrocarbonés</t>
  </si>
  <si>
    <t>Organohalogénés</t>
  </si>
  <si>
    <t>Oxygénés</t>
  </si>
  <si>
    <t>Soufrés</t>
  </si>
  <si>
    <t>Phénols</t>
  </si>
  <si>
    <t>Phénols alkylés</t>
  </si>
  <si>
    <t xml:space="preserve"> </t>
  </si>
  <si>
    <t>Chlorophénols</t>
  </si>
  <si>
    <t>Phtalates</t>
  </si>
  <si>
    <t>Composés organiques semi volatils</t>
  </si>
  <si>
    <t>PCB</t>
  </si>
  <si>
    <t>Dioxines - furannes</t>
  </si>
  <si>
    <t>Pesticides</t>
  </si>
  <si>
    <t>Pesticides organochlorés</t>
  </si>
  <si>
    <t>Pesticides organophosphorés</t>
  </si>
  <si>
    <t>Herbicides</t>
  </si>
  <si>
    <t>Herbicides phénoxyacides</t>
  </si>
  <si>
    <t>HAP</t>
  </si>
  <si>
    <t>Métaux</t>
  </si>
  <si>
    <t>Explosifs et substances chimiques à usage militaire</t>
  </si>
  <si>
    <t>Autres polluants divers</t>
  </si>
  <si>
    <t>Solvant polaires</t>
  </si>
  <si>
    <t>Amines</t>
  </si>
  <si>
    <t>Autres éléments chimiques</t>
  </si>
  <si>
    <t>A 1</t>
  </si>
  <si>
    <t>A 2</t>
  </si>
  <si>
    <t>A 3</t>
  </si>
  <si>
    <t>A 4</t>
  </si>
  <si>
    <t>B 1</t>
  </si>
  <si>
    <t>B 2</t>
  </si>
  <si>
    <t>C</t>
  </si>
  <si>
    <t>D 1</t>
  </si>
  <si>
    <t xml:space="preserve">D 2 </t>
  </si>
  <si>
    <t>E 1</t>
  </si>
  <si>
    <t>E 2</t>
  </si>
  <si>
    <t>E 3</t>
  </si>
  <si>
    <t xml:space="preserve">E 4 </t>
  </si>
  <si>
    <t>F</t>
  </si>
  <si>
    <t>G</t>
  </si>
  <si>
    <t xml:space="preserve"> H</t>
  </si>
  <si>
    <t>I 1</t>
  </si>
  <si>
    <t xml:space="preserve"> I 2 </t>
  </si>
  <si>
    <t>J</t>
  </si>
  <si>
    <t>N° CAS</t>
  </si>
  <si>
    <t>79-34-5</t>
  </si>
  <si>
    <t>1 -- 2</t>
  </si>
  <si>
    <t>1,2,3-trichloropropane</t>
  </si>
  <si>
    <t>96-18-4</t>
  </si>
  <si>
    <t>1,2-dibromo-3-chloropropane</t>
  </si>
  <si>
    <t>96-12-8</t>
  </si>
  <si>
    <t>1,2-dichloropropane</t>
  </si>
  <si>
    <t>78-87-5</t>
  </si>
  <si>
    <t>1-butanol</t>
  </si>
  <si>
    <t>71-36-3</t>
  </si>
  <si>
    <t>78-93-3</t>
  </si>
  <si>
    <t>95-49-8</t>
  </si>
  <si>
    <t>141-78-6</t>
  </si>
  <si>
    <t>67-64-1</t>
  </si>
  <si>
    <t>75-05-8</t>
  </si>
  <si>
    <t>108-86-1</t>
  </si>
  <si>
    <t>75-27-4</t>
  </si>
  <si>
    <t>75-25-2</t>
  </si>
  <si>
    <t>74-83-9</t>
  </si>
  <si>
    <t>108-90-7</t>
  </si>
  <si>
    <t>75-00-3</t>
  </si>
  <si>
    <t>74-87-3</t>
  </si>
  <si>
    <t>98-82-8</t>
  </si>
  <si>
    <t>124-48-1</t>
  </si>
  <si>
    <t>95-50-1</t>
  </si>
  <si>
    <t>541-73-1</t>
  </si>
  <si>
    <t>106-46-7</t>
  </si>
  <si>
    <t>75-35-4</t>
  </si>
  <si>
    <t>60-29-7</t>
  </si>
  <si>
    <t>75-15-0</t>
  </si>
  <si>
    <t>87-68-3</t>
  </si>
  <si>
    <t>1 -- 2 -- 11</t>
  </si>
  <si>
    <t>67-63-0</t>
  </si>
  <si>
    <t>67-56-1</t>
  </si>
  <si>
    <t>75-56-9</t>
  </si>
  <si>
    <t>110-86-1</t>
  </si>
  <si>
    <t>I 2</t>
  </si>
  <si>
    <t>75-65-0</t>
  </si>
  <si>
    <t>87-61-6</t>
  </si>
  <si>
    <t>120-82-1</t>
  </si>
  <si>
    <t>108-70-3</t>
  </si>
  <si>
    <t>95-48-7</t>
  </si>
  <si>
    <t>108-39-4</t>
  </si>
  <si>
    <t>106-44-5</t>
  </si>
  <si>
    <t>105-67-9</t>
  </si>
  <si>
    <t>95-87-4</t>
  </si>
  <si>
    <t>576-26-1</t>
  </si>
  <si>
    <t>95-65-8</t>
  </si>
  <si>
    <t>95-57-8</t>
  </si>
  <si>
    <t>108-43-0</t>
  </si>
  <si>
    <t>106-48-9</t>
  </si>
  <si>
    <t>120-83-2</t>
  </si>
  <si>
    <t>87-65-0</t>
  </si>
  <si>
    <t>95-77-2</t>
  </si>
  <si>
    <t>591-35-5</t>
  </si>
  <si>
    <t>933-78-8</t>
  </si>
  <si>
    <t>933-75-5</t>
  </si>
  <si>
    <t>95-95-4</t>
  </si>
  <si>
    <t>88-06-2</t>
  </si>
  <si>
    <t>609-19-8</t>
  </si>
  <si>
    <t>4901-51-3</t>
  </si>
  <si>
    <t>58-90-2</t>
  </si>
  <si>
    <t>87-86-5</t>
  </si>
  <si>
    <t>DEHP</t>
  </si>
  <si>
    <t>117-81-7</t>
  </si>
  <si>
    <t>85-68-7</t>
  </si>
  <si>
    <t>84-66-2</t>
  </si>
  <si>
    <t>84-74-2</t>
  </si>
  <si>
    <t>634-66-2</t>
  </si>
  <si>
    <t>95-94-3</t>
  </si>
  <si>
    <t>608-93-5</t>
  </si>
  <si>
    <t>118-74-1</t>
  </si>
  <si>
    <t>50-00-0</t>
  </si>
  <si>
    <t>75-07-0</t>
  </si>
  <si>
    <t>PCB 28</t>
  </si>
  <si>
    <t>7012-37-5</t>
  </si>
  <si>
    <t>10 -- 11</t>
  </si>
  <si>
    <t>PCB 52</t>
  </si>
  <si>
    <t>35693-99-3</t>
  </si>
  <si>
    <t>PCB 101</t>
  </si>
  <si>
    <t>37680-72-3</t>
  </si>
  <si>
    <t>PCB 118</t>
  </si>
  <si>
    <t>31508-00-6</t>
  </si>
  <si>
    <t>PCB 138</t>
  </si>
  <si>
    <t>35065-28-2</t>
  </si>
  <si>
    <t>PCB 153</t>
  </si>
  <si>
    <t>35065-27-1</t>
  </si>
  <si>
    <t>PCB 180</t>
  </si>
  <si>
    <t>35065-29-3</t>
  </si>
  <si>
    <t>1746-01-6</t>
  </si>
  <si>
    <t>D 2</t>
  </si>
  <si>
    <t>57-74-9</t>
  </si>
  <si>
    <t>1024-57-3</t>
  </si>
  <si>
    <t>58-89-9</t>
  </si>
  <si>
    <t>60-57-1</t>
  </si>
  <si>
    <t>72-54-8</t>
  </si>
  <si>
    <t>4,4′-DDE</t>
  </si>
  <si>
    <t>72-55-9</t>
  </si>
  <si>
    <t>50-29-3</t>
  </si>
  <si>
    <t>319-85-7</t>
  </si>
  <si>
    <t>298-04-4</t>
  </si>
  <si>
    <t>333-41-5</t>
  </si>
  <si>
    <t>1912-24-9</t>
  </si>
  <si>
    <t>314-40-9</t>
  </si>
  <si>
    <t>16118-49-3</t>
  </si>
  <si>
    <t>1698-60-8</t>
  </si>
  <si>
    <t>21725-46-2</t>
  </si>
  <si>
    <t>2008-58-4</t>
  </si>
  <si>
    <t>330-54-1</t>
  </si>
  <si>
    <t>26225-79-6</t>
  </si>
  <si>
    <t>51235-04-2</t>
  </si>
  <si>
    <t>34123-59-6</t>
  </si>
  <si>
    <t>330-55-2</t>
  </si>
  <si>
    <t>41394-05-2</t>
  </si>
  <si>
    <t>67129-08-2</t>
  </si>
  <si>
    <t>18691-97-9</t>
  </si>
  <si>
    <t>3060-89-7</t>
  </si>
  <si>
    <t>51218-45-2</t>
  </si>
  <si>
    <t>1746-81-2</t>
  </si>
  <si>
    <t>139-40-2</t>
  </si>
  <si>
    <t>7286-69-3</t>
  </si>
  <si>
    <t>122-34-9</t>
  </si>
  <si>
    <t>5915-41-3</t>
  </si>
  <si>
    <t>886-50-0</t>
  </si>
  <si>
    <t>15545-48-9</t>
  </si>
  <si>
    <t>Alachlor</t>
  </si>
  <si>
    <t>15972-60-8</t>
  </si>
  <si>
    <t>11 -- 13</t>
  </si>
  <si>
    <t>120-36-5</t>
  </si>
  <si>
    <t>E 4</t>
  </si>
  <si>
    <t>25057-89-0</t>
  </si>
  <si>
    <t>1918-00-9</t>
  </si>
  <si>
    <t>69377-81-7</t>
  </si>
  <si>
    <t>2,4-D</t>
  </si>
  <si>
    <t>94-75-7</t>
  </si>
  <si>
    <t>94-74-6</t>
  </si>
  <si>
    <t>93-65-2</t>
  </si>
  <si>
    <t>92-52-4</t>
  </si>
  <si>
    <t>90-12-0</t>
  </si>
  <si>
    <t>16 -- 1 -- 2</t>
  </si>
  <si>
    <t>91-57-6</t>
  </si>
  <si>
    <t>121-82-4</t>
  </si>
  <si>
    <t>H</t>
  </si>
  <si>
    <t>118-96-7</t>
  </si>
  <si>
    <t>2691-41-0</t>
  </si>
  <si>
    <t>99-35-4</t>
  </si>
  <si>
    <t>121-14-2</t>
  </si>
  <si>
    <t>606-20-2</t>
  </si>
  <si>
    <t>Coélution avec le Tetrachlorobenzene, 1,2,3,5-</t>
  </si>
  <si>
    <t>Isomères trans/cis non séparables dans les conditions opératoires classiques</t>
  </si>
  <si>
    <t>uniquement méthode HPLC : ISO 11916-1</t>
  </si>
  <si>
    <t>7429-90-5</t>
  </si>
  <si>
    <t>5 -- 7</t>
  </si>
  <si>
    <t>7440-36-0</t>
  </si>
  <si>
    <t>5 -- 6 -- 7</t>
  </si>
  <si>
    <t>7440-39-3</t>
  </si>
  <si>
    <t>7440-41-7</t>
  </si>
  <si>
    <t>7440-48-4</t>
  </si>
  <si>
    <t>7440-31-5</t>
  </si>
  <si>
    <t>7439-96-5</t>
  </si>
  <si>
    <t>7439-98-7</t>
  </si>
  <si>
    <t>7782-49-2</t>
  </si>
  <si>
    <t>7440-28-0</t>
  </si>
  <si>
    <t>7440-32-6</t>
  </si>
  <si>
    <t>7440-62-2</t>
  </si>
  <si>
    <t>7440-22-4</t>
  </si>
  <si>
    <t>7440-42-8</t>
  </si>
  <si>
    <t>7440-24-6</t>
  </si>
  <si>
    <t>7664-41-7</t>
  </si>
  <si>
    <t>Ammoniac : Dosage de l'ammonium</t>
  </si>
  <si>
    <t>7664-39-3</t>
  </si>
  <si>
    <t>/</t>
  </si>
  <si>
    <t>Mesure du pH et fluorures sur lixiviat comme indication présence d'acide fluorhydrique</t>
  </si>
  <si>
    <t>7647-01-0</t>
  </si>
  <si>
    <t>Mesure du pH et chlorures sur lixiviat comme indication présence d'acide chlorhydrique</t>
  </si>
  <si>
    <t>7664-93-9</t>
  </si>
  <si>
    <t>Mesure du pH et sulfates sur lixiviat comme indication présence d'acide chlorhydrique</t>
  </si>
  <si>
    <t>7697-37-2</t>
  </si>
  <si>
    <t>Mesure du pH et nitrates sur lixiviat comme indication présence d'acide chlorhydrique</t>
  </si>
  <si>
    <t>Remarques relatives aux méthodes d'analyses</t>
  </si>
  <si>
    <t>Famille analytique</t>
  </si>
  <si>
    <t>Code méthode d'analyse</t>
  </si>
  <si>
    <t>LQ 
mg/kg de mat.sèc.</t>
  </si>
  <si>
    <t>PNN</t>
  </si>
  <si>
    <t>Matrice sol</t>
  </si>
  <si>
    <t>Matrice eau</t>
  </si>
  <si>
    <t xml:space="preserve">LQ 
</t>
  </si>
  <si>
    <t>à venir</t>
  </si>
  <si>
    <t>Code paramètres</t>
  </si>
  <si>
    <t>Résumé méthode</t>
  </si>
  <si>
    <t>Norme</t>
  </si>
  <si>
    <t>Méthode CWEA</t>
  </si>
  <si>
    <t>VOC's</t>
  </si>
  <si>
    <t>Purge and trap GC-MS/FID/ECD</t>
  </si>
  <si>
    <t>NBN EN ISO 15009: 2016</t>
  </si>
  <si>
    <t>S-III-1.1</t>
  </si>
  <si>
    <t>Conservation : T &lt;-18°C dans le noir si l'extraction n'est pas réalisée directement</t>
  </si>
  <si>
    <t>Purge and trap et GC/MS</t>
  </si>
  <si>
    <t>EPA 5035A et</t>
  </si>
  <si>
    <t>EPA 8260C</t>
  </si>
  <si>
    <t>Head space GC-MS/FID/ECD</t>
  </si>
  <si>
    <t>NBN EN ISO 22155: 2016</t>
  </si>
  <si>
    <t>S-III-1.2</t>
  </si>
  <si>
    <t>Head Space et GC/MS</t>
  </si>
  <si>
    <t>EPA 5021A et</t>
  </si>
  <si>
    <t>Phénols et chlorophénols</t>
  </si>
  <si>
    <t>GC-MS après dérivatisation</t>
  </si>
  <si>
    <t>ISO/TS 17182: 2014</t>
  </si>
  <si>
    <t>GC-MS</t>
  </si>
  <si>
    <t>CEN/TS 16183 : 2012</t>
  </si>
  <si>
    <t xml:space="preserve">Extraction ETM eau régale </t>
  </si>
  <si>
    <t>NBN EN 16174 :2012</t>
  </si>
  <si>
    <t>S-II-1</t>
  </si>
  <si>
    <t>Dosage ICP OES</t>
  </si>
  <si>
    <t>NBN EN 16170 : 2016</t>
  </si>
  <si>
    <t>S-II-2.2</t>
  </si>
  <si>
    <t xml:space="preserve">Dosage ICP AES </t>
  </si>
  <si>
    <t>ISO 22036 : 2008</t>
  </si>
  <si>
    <t xml:space="preserve">Métaux </t>
  </si>
  <si>
    <t xml:space="preserve">NBN EN 16174 </t>
  </si>
  <si>
    <t>AAS (flamme et électrothermique)</t>
  </si>
  <si>
    <t>ISO 11047 : 1998</t>
  </si>
  <si>
    <t>S-II-2.1</t>
  </si>
  <si>
    <t>AAS (électrothermique ou hydrure)</t>
  </si>
  <si>
    <t>ISO 20280 : 2007</t>
  </si>
  <si>
    <t>ICP-MS (sol)</t>
  </si>
  <si>
    <t>NBN EN 16171 : 2016</t>
  </si>
  <si>
    <t>Cr(VI)</t>
  </si>
  <si>
    <t>Chromatographie ionique-UV-Vis</t>
  </si>
  <si>
    <t>EN 15192 : 2006</t>
  </si>
  <si>
    <t>S-II-4</t>
  </si>
  <si>
    <t>Mercure</t>
  </si>
  <si>
    <t>Mercure total par AAS et SFA. vapeur froide</t>
  </si>
  <si>
    <t>ISO 16772 : 2004</t>
  </si>
  <si>
    <t>S-II-3</t>
  </si>
  <si>
    <t>AAS vapeur froide</t>
  </si>
  <si>
    <t>NBN EN 16175-1 : 2016</t>
  </si>
  <si>
    <t>SFA vapeur froide</t>
  </si>
  <si>
    <t>NBN EN 16175-2 : 2016</t>
  </si>
  <si>
    <t>GC-MS/ECD</t>
  </si>
  <si>
    <t>NBN EN 16167 : 2012</t>
  </si>
  <si>
    <t>GC-ECD (MS)</t>
  </si>
  <si>
    <t>ISO 10382 : 2002</t>
  </si>
  <si>
    <t>GC-FDP/NDP (MS)</t>
  </si>
  <si>
    <t>EPA METHOD 8141B</t>
  </si>
  <si>
    <t>Certains contaminants peuvent également être analysés pas HPLC/MS</t>
  </si>
  <si>
    <t>HPLC-UV (MS)</t>
  </si>
  <si>
    <t>ISO 11264 : 2005</t>
  </si>
  <si>
    <t xml:space="preserve">Conservation : T &lt;-20°C dans le noir si stocké + de 2 jours </t>
  </si>
  <si>
    <t>Herbicides phénoxyalcanoïques</t>
  </si>
  <si>
    <t>GC-MS après dérivatisation (eau)</t>
  </si>
  <si>
    <t>NBN EN ISO 15913 : 2003</t>
  </si>
  <si>
    <t>Norme Eau. Certains contaminants peuvent également être analysés pas HPLC/MS</t>
  </si>
  <si>
    <t>Dioxines</t>
  </si>
  <si>
    <t>GC-MS Haute Résolution</t>
  </si>
  <si>
    <t>CEN/TS 16190 : 2012</t>
  </si>
  <si>
    <t>Conservation &lt; 8°C et abris de la lumière</t>
  </si>
  <si>
    <t>GC-MS et HPLC-UV-DAD/FLD</t>
  </si>
  <si>
    <t>ISO 13859: 2014</t>
  </si>
  <si>
    <t>1-méthylnaphtalène et 2-méthylnaphtalène pas par HLPC (MRM ion mère et fille identique)</t>
  </si>
  <si>
    <t>ISO 18287: 2006</t>
  </si>
  <si>
    <t>S-III-3.2</t>
  </si>
  <si>
    <t>Cyanures</t>
  </si>
  <si>
    <t>Colorimétrie ou titrimétrie avec indicateur</t>
  </si>
  <si>
    <t>ISO 11262 : 2011</t>
  </si>
  <si>
    <t>S-II-5.1</t>
  </si>
  <si>
    <t>CFA</t>
  </si>
  <si>
    <t>NBN EN ISO 17380 : 2013</t>
  </si>
  <si>
    <t>S-II-5.2</t>
  </si>
  <si>
    <t>Explosifs</t>
  </si>
  <si>
    <t>ISO 11916-1 : 2013</t>
  </si>
  <si>
    <t>ISO 11916-2 : 2013</t>
  </si>
  <si>
    <t>Azote</t>
  </si>
  <si>
    <t>Méthode manuelle</t>
  </si>
  <si>
    <t>ISO/TS 14256-1:2003</t>
  </si>
  <si>
    <t>analyse en flux segmenté</t>
  </si>
  <si>
    <t>ISO 14256 - 2 : 2005</t>
  </si>
  <si>
    <t>Aldéhydes</t>
  </si>
  <si>
    <t>EPA METHOD 8315A</t>
  </si>
  <si>
    <t>pH</t>
  </si>
  <si>
    <t>ISO 10390 : 2005</t>
  </si>
  <si>
    <t>S-II-6.1</t>
  </si>
  <si>
    <t>Trois méthodes à appliquer :  Mesure du pH et des Halogène sur lixiviat</t>
  </si>
  <si>
    <t>Halogènes</t>
  </si>
  <si>
    <t xml:space="preserve">Lixiviation </t>
  </si>
  <si>
    <t>NBN EN 12457-2</t>
  </si>
  <si>
    <t>S-I-4</t>
  </si>
  <si>
    <t>ISO 10304-1 : 2009</t>
  </si>
  <si>
    <t>Sonde électrochimique</t>
  </si>
  <si>
    <t>ISO 10359-1 : 1992</t>
  </si>
  <si>
    <t>13A</t>
  </si>
  <si>
    <t>13B</t>
  </si>
  <si>
    <t>13C</t>
  </si>
  <si>
    <t>13D</t>
  </si>
  <si>
    <t>13E</t>
  </si>
  <si>
    <t>13G</t>
  </si>
  <si>
    <t>13H</t>
  </si>
  <si>
    <t>106-89-8</t>
  </si>
  <si>
    <t>75-34-3</t>
  </si>
  <si>
    <t>somme des crésols</t>
  </si>
  <si>
    <t>1319-77-3</t>
  </si>
  <si>
    <t>non pertinent</t>
  </si>
  <si>
    <t>935-95-5</t>
  </si>
  <si>
    <t>526-75-0</t>
  </si>
  <si>
    <t>69A</t>
  </si>
  <si>
    <t>70B</t>
  </si>
  <si>
    <t>71B</t>
  </si>
  <si>
    <t>72B</t>
  </si>
  <si>
    <t>82657-04-3</t>
  </si>
  <si>
    <t>68-12-2</t>
  </si>
  <si>
    <t>14798-03-9</t>
  </si>
  <si>
    <t>ammonium</t>
  </si>
  <si>
    <t>16984-48-8</t>
  </si>
  <si>
    <t>16887-00-6</t>
  </si>
  <si>
    <t>14808-79-8</t>
  </si>
  <si>
    <t>14797-55-8</t>
  </si>
  <si>
    <t>14797-65-0</t>
  </si>
  <si>
    <t>122-39-4</t>
  </si>
  <si>
    <t>35572-78-2</t>
  </si>
  <si>
    <t>19406-51-0</t>
  </si>
  <si>
    <t>55-63-0</t>
  </si>
  <si>
    <t>78-11-5</t>
  </si>
  <si>
    <t>95-63-6</t>
  </si>
  <si>
    <t>108-67-8</t>
  </si>
  <si>
    <t>135-98-8</t>
  </si>
  <si>
    <t>98-06-6</t>
  </si>
  <si>
    <t>99-87-6</t>
  </si>
  <si>
    <t>64-17-5</t>
  </si>
  <si>
    <t>71-23-8</t>
  </si>
  <si>
    <t>84-69-5</t>
  </si>
  <si>
    <t>103-65-1</t>
  </si>
  <si>
    <t>104-51-8</t>
  </si>
  <si>
    <t>86-74-8</t>
  </si>
  <si>
    <t>carbazole</t>
  </si>
  <si>
    <t>132-64-9</t>
  </si>
  <si>
    <t>106-43-4</t>
  </si>
  <si>
    <t>101-84-8</t>
  </si>
  <si>
    <t>25167-70-8</t>
  </si>
  <si>
    <t>873-94-9</t>
  </si>
  <si>
    <t>98-83-9</t>
  </si>
  <si>
    <t>107-40-4</t>
  </si>
  <si>
    <t>107-39-1</t>
  </si>
  <si>
    <t>598-96-9</t>
  </si>
  <si>
    <t>63-25-2</t>
  </si>
  <si>
    <t>carbaryl</t>
  </si>
  <si>
    <t>123-01-3</t>
  </si>
  <si>
    <t>583-78-8</t>
  </si>
  <si>
    <t>59-50-7</t>
  </si>
  <si>
    <t>10097-32-2</t>
  </si>
  <si>
    <t>--</t>
  </si>
  <si>
    <t>cyanures non oxydables au chlore</t>
  </si>
  <si>
    <t>108-68-9</t>
  </si>
  <si>
    <t>123-07-9</t>
  </si>
  <si>
    <t>465-73-6</t>
  </si>
  <si>
    <t>620-17-7</t>
  </si>
  <si>
    <t>108-99-6</t>
  </si>
  <si>
    <t>90-00-6</t>
  </si>
  <si>
    <t>109-06-8</t>
  </si>
  <si>
    <t>1333-41-1</t>
  </si>
  <si>
    <t>108-89-4</t>
  </si>
  <si>
    <t>thiocyanates</t>
  </si>
  <si>
    <t>89-83-8</t>
  </si>
  <si>
    <t>84-76-4</t>
  </si>
  <si>
    <t>28553-12-0</t>
  </si>
  <si>
    <t>7440-69-9</t>
  </si>
  <si>
    <t>7440-46-2</t>
  </si>
  <si>
    <t>7439-93-2</t>
  </si>
  <si>
    <t>10605-21-7</t>
  </si>
  <si>
    <t>101-21-3</t>
  </si>
  <si>
    <t>6190-65-4</t>
  </si>
  <si>
    <t>30125-63-4</t>
  </si>
  <si>
    <t>1007-28-9</t>
  </si>
  <si>
    <t>19937-59-8</t>
  </si>
  <si>
    <t>7287-19-6</t>
  </si>
  <si>
    <t>1918-16-7</t>
  </si>
  <si>
    <t>709-98-8</t>
  </si>
  <si>
    <t>110-54-3</t>
  </si>
  <si>
    <t>9004-70-0</t>
  </si>
  <si>
    <t>13494-80-9</t>
  </si>
  <si>
    <t>634-90-2</t>
  </si>
  <si>
    <t>25791-96-2</t>
  </si>
  <si>
    <t>52625-13-5</t>
  </si>
  <si>
    <t>25322-69-4</t>
  </si>
  <si>
    <t>1228577-90-9</t>
  </si>
  <si>
    <t>13674-84-5</t>
  </si>
  <si>
    <t>131-11-3</t>
  </si>
  <si>
    <t>104-40-5</t>
  </si>
  <si>
    <t>34256-82-1</t>
  </si>
  <si>
    <t>85-00-7</t>
  </si>
  <si>
    <t>2764-72-9</t>
  </si>
  <si>
    <t>1910-42-5</t>
  </si>
  <si>
    <t>4685-14-7</t>
  </si>
  <si>
    <t>1071-83-6</t>
  </si>
  <si>
    <t>15299-99-7</t>
  </si>
  <si>
    <t>2008-41-5</t>
  </si>
  <si>
    <t>2212-67-1</t>
  </si>
  <si>
    <t>52888-80-9</t>
  </si>
  <si>
    <t>1929-77-7</t>
  </si>
  <si>
    <t>79-09-4</t>
  </si>
  <si>
    <t>1134-23-2</t>
  </si>
  <si>
    <t>Cycloate</t>
  </si>
  <si>
    <t>2303-16-4</t>
  </si>
  <si>
    <t>759-94-4</t>
  </si>
  <si>
    <t>85785-20-2</t>
  </si>
  <si>
    <t>2941-55-1</t>
  </si>
  <si>
    <t>34622-58-7</t>
  </si>
  <si>
    <t>1114-71-2</t>
  </si>
  <si>
    <t>7440-21-3</t>
  </si>
  <si>
    <t>7440-33-7</t>
  </si>
  <si>
    <t>107-21-1</t>
  </si>
  <si>
    <t>sulfates</t>
  </si>
  <si>
    <t>code VL</t>
  </si>
  <si>
    <t>Code famille analytique</t>
  </si>
  <si>
    <t>liste des PNN repris dans la base de données</t>
  </si>
  <si>
    <t>En ce qui concerne les méthodes d'analyse, les PNN sont regoupés par familles analytiques, tel que repris dans le tableau ci-dessous</t>
  </si>
  <si>
    <t>en cas d'identification d'un PNN volatil, les recommandations du CWEA en termes de prélèvement et de conditionnement avant analyse sont de vigueur</t>
  </si>
  <si>
    <t>dans ce code VL, les références "outxx" correspondent à des PNN pour lesquels aucune VL n'a été établie</t>
  </si>
  <si>
    <t>Les PNN sont identifiés par leur numéro CAS, et 2 codes leur sont associés</t>
  </si>
  <si>
    <t>2) le code famille analytique renvoie vers les onglets "méthodes d'analyses"</t>
  </si>
  <si>
    <t>out 8</t>
  </si>
  <si>
    <t>out 5</t>
  </si>
  <si>
    <t>o,p-DDT</t>
  </si>
  <si>
    <t>789-02-6</t>
  </si>
  <si>
    <t>out 6</t>
  </si>
  <si>
    <t>pesticides sans données toxicologiques</t>
  </si>
  <si>
    <t>7727-37-9</t>
  </si>
  <si>
    <t>out 7</t>
  </si>
  <si>
    <t>144-55-8</t>
  </si>
  <si>
    <t>calcium</t>
  </si>
  <si>
    <t>out 9</t>
  </si>
  <si>
    <t>10043-52-4</t>
  </si>
  <si>
    <t>out 10</t>
  </si>
  <si>
    <t>12125-02-9</t>
  </si>
  <si>
    <t>out 11</t>
  </si>
  <si>
    <t>7439-89-6</t>
  </si>
  <si>
    <t>out 12</t>
  </si>
  <si>
    <t>magnesium</t>
  </si>
  <si>
    <t>7439-95-4</t>
  </si>
  <si>
    <t>out 13</t>
  </si>
  <si>
    <t>14265-44-2</t>
  </si>
  <si>
    <t>7723-14-0</t>
  </si>
  <si>
    <t>out 14</t>
  </si>
  <si>
    <t>out 15</t>
  </si>
  <si>
    <t>potassium</t>
  </si>
  <si>
    <t>out 16</t>
  </si>
  <si>
    <t>sodium</t>
  </si>
  <si>
    <t>7440-23-5</t>
  </si>
  <si>
    <t>out 17</t>
  </si>
  <si>
    <t>7704-34-9</t>
  </si>
  <si>
    <t>out 18</t>
  </si>
  <si>
    <t>COT (carbone organique total)</t>
  </si>
  <si>
    <t>out 19</t>
  </si>
  <si>
    <t>out 20</t>
  </si>
  <si>
    <t>polluants volatils</t>
  </si>
  <si>
    <t xml:space="preserve"> volatils ou semi-volatils</t>
  </si>
  <si>
    <t>semi-volatils</t>
  </si>
  <si>
    <r>
      <t xml:space="preserve">la notion de </t>
    </r>
    <r>
      <rPr>
        <b/>
        <sz val="11"/>
        <color theme="1"/>
        <rFont val="Calibri"/>
        <family val="2"/>
        <scheme val="minor"/>
      </rPr>
      <t>polluant volatil</t>
    </r>
    <r>
      <rPr>
        <sz val="11"/>
        <color theme="1"/>
        <rFont val="Calibri"/>
        <family val="2"/>
        <scheme val="minor"/>
      </rPr>
      <t xml:space="preserve"> tel que reprise dans la colonne des remarques est définie selon le critère issu du GRER partim B:</t>
    </r>
  </si>
  <si>
    <t>Polluant Non Normé</t>
  </si>
  <si>
    <t>VLH
usage I
[mg/kg MS]</t>
  </si>
  <si>
    <t>VLH
usage III
[mg/kg MS]</t>
  </si>
  <si>
    <t>VLH
usage IV
[mg/kg MS]</t>
  </si>
  <si>
    <t>VLH
usage V
[mg/kg MS]</t>
  </si>
  <si>
    <t>VLnappe
[µg/l]</t>
  </si>
  <si>
    <t>VLN
[mg/kg MS]</t>
  </si>
  <si>
    <t>VLnappe_non_exploitable
[µg/l]</t>
  </si>
  <si>
    <t>Remarques éventuelles en cas d'absence de valeurs limites</t>
  </si>
  <si>
    <t>NP</t>
  </si>
  <si>
    <t>NA</t>
  </si>
  <si>
    <t>pas de VLH</t>
  </si>
  <si>
    <t>1336-36-3</t>
  </si>
  <si>
    <t>considérer les valeurs pour chaque isomère</t>
  </si>
  <si>
    <t>13F</t>
  </si>
  <si>
    <t>pas de VTRinhal</t>
  </si>
  <si>
    <t>Cpw&gt;S --&gt; égal à la Solubilité</t>
  </si>
  <si>
    <t>pyridine</t>
  </si>
  <si>
    <t>temps de résidence supposé court dans les sols du fait de sa volatilisation vers l’atmosphère et de sa transformation par les micro-organismes en nitrites et nitrates (cycle de l’azote) --&gt; doser les ionis ammonium, nitrates et nitrites dans l'eau souterraine3/02/2017 Attention aux mesures d'air si solution concentrée</t>
  </si>
  <si>
    <t>aucune valeur limite n’a été établie pour les éléments majeurs présents dans les sols (calcium, potassium, magnésium, sodium, ammonium, phosphates, chlorures et sulfates) conformément à la position de l’EPA (référence : EPA (1989). “Risk assessment guidance for Superfund – Volume I – Human Health Evaluation Manual (Part A)”, page 5-23). En effet, l’EPA précise dans ce guide que « les substances considérées comme des éléments nutritifs pour l’homme ou qui ne pourraient être toxiques qu’à de très fortes doses (bien plus élevées que celles mesurées sur un site) ne sont pas prises en compte dans une évaluation des risques pour la santé humaine
paramètre à considérer uniquement dans les eaux souterraines</t>
  </si>
  <si>
    <t>du fait de sa très forte solubilité, cette substance ne garde pas sa forme chimique initiale et se dissocie dans les sols pour former d’autres substances --&gt; analyser le pH et doser les fluorures dans l'eau souterraine.  Attention aux mesures d'air si solution concentrée</t>
  </si>
  <si>
    <t>70A</t>
  </si>
  <si>
    <t>paramètre à considérer uniquement dans les eaux souterraines. Dans le sol, les ions F- sont considérés comme immobiles car ils sont fortement retenus par la fraction minérale du sol</t>
  </si>
  <si>
    <t>du fait de sa très forte solubilité, cette substance ne garde pas sa forme chimique initiale et se dissocie dans les sols pour former d’autres substances --&gt; analyser le pH et doser les chlorures dans l'eau souterraine. Attention aux mesures d'air si solution concentrée</t>
  </si>
  <si>
    <t>71A</t>
  </si>
  <si>
    <t>aucune valeur limite n’a été établie pour les éléments majeurs présents dans les sols (calcium, potassium, magnésium, sodium, ammonium, phosphates, chlorures et sulfates) conformément à la position de l’EPA (référence : EPA (1989). “Risk assessment guidance for Superfund – Volume I – Human Health Evaluation Manual (Part A)”, page 5-23). En effet, l’EPA précise dans ce guide que « les substances considérées comme des éléments nutritifs pour l’homme ou qui ne pourraient être toxiques qu’à de très fortes doses (bien plus élevées que celles mesurées sur un site) ne sont pas prises en compte dans une évaluation des risques pour la santé humaine. 
La toxicité des chlorures a été évaluée par le RIVM en 2009 qui a conclu que cet élément peut être considéré comme non toxique dans les sols. 
paramètre à considérer uniquement dans les eaux souterraines</t>
  </si>
  <si>
    <t>du fait de sa très forte solubilité, cette substance ne garde pas sa forme chimique initiale et se dissocie dans les sols pour former d’autres substances --&gt; analyser le pH et doser les sulfates dans l'eau souterraine; Attention aux mesures d'air si solution concentrée</t>
  </si>
  <si>
    <t>72A</t>
  </si>
  <si>
    <t>paramètre à considérer uniquement dans les eaux souterraines
La toxicité des sulfates a été évaluée par le RIVM en 2009 qui a conclu que cet élément peut être considéré comme non toxique dans les sols. 
aucune valeur limite n’a été établie pour les éléments majeurs présents dans les sols (calcium, potassium, magnésium, sodium, ammonium, phosphates, chlorures et sulfates) conformément à la position de l’EPA (référence : EPA (1989). “Risk assessment guidance for Superfund – Volume I – Human Health Evaluation Manual (Part A)”, page 5-23). En effet, l’EPA précise dans ce guide que « les substances considérées comme des éléments nutritifs pour l’homme ou qui ne pourraient être toxiques qu’à de très fortes doses (bien plus élevées que celles mesurées sur un site) ne sont pas prises en compte dans une évaluation des risques pour la santé humaine</t>
  </si>
  <si>
    <t>du fait de sa très forte solubilité, cette substance ne garde pas sa forme chimique initiale et se dissocie dans les sols pour former d’autres substances --&gt; analyser le pH et doser les nitrates dans l'eau souterraine; Attention aux mesures d'air si solution concentrée</t>
  </si>
  <si>
    <t>L’homme est principalement exposé aux nitrates et aux nitrites en consommant de l’eau chargée en nitrates et des aliments, en particulier les légumes-feuilles (laitue, épinard). L’absorption de ces ions dans les sols n’est pas significative dans la majorité des sols mais la lixiviation de ces ions très solubles dans l’eau conduit à leur présence significative dans les eaux souterraines. En conséquence, paramètre à considérer uniquement pour les eaux souterraines.</t>
  </si>
  <si>
    <t xml:space="preserve">paramètre à considérer uniquement pour les eaux souterraines (cfr recommandation pour les nitrates).
A titre informatif, l’Etat de Floride (USA) fixe une norme assimilable à la VLH dans les sols à 8 700 mg/kg pour l’usage résidentiel et à 220 000 mg/kg pour l’usage commercial/industriel. L’US-EPA fixe, dans le cadre des « Regional Screening Levels », une norme assimilable à la VLH dans les sols à 7 800 mg/kg pour l’usage résidentiel et à 120 000 mg/kg pour l’usage industriel.
</t>
  </si>
  <si>
    <t>explosif largement utilisé dans la fabrication de poudre. L’US-EPA ainsi que l’Etat de Floride proposent respectivement des « Regional Screening Levels » (RSL) et « Soil clean-up target level » pour les usages résidentiel et industriel dans les sols. Il convient de prendre le minimum des valeurs des RSL et « Soil clean-up target level », soit 6,3 mg/kg pour les usages résidentiel et naturel et 54 mg/kg pour l’usage industriel. A noter  le caractère explosif de ce composé et les protections spécifiques nécessaires en cas d’assainissement (produit sensible au choc et à la chaleur).</t>
  </si>
  <si>
    <t>Approximation valable en première approche (molécule peu soluble et peu volatile): prendre les valeurs seuils les plus sévères pour cette famille de polluants, à savoir celles pour le DEHP (Di (2 ethyl hexyl) phtalate)</t>
  </si>
  <si>
    <t>se rapporter à annexe 1 du Décret Sols - indice hydrocarbures --&gt; ce composé est analysé par la méthode de l'indice hydrocarbure</t>
  </si>
  <si>
    <t>composé très dense par rapport à l’air (densité = 8.47), insoluble dans l’eau et non volatil (pression de vapeur 5,1. 10-5 mmHg), ayant une faible odeur d’huile. en conséquence les normes proposées pour les fractions d’hydrocarbures pétroliers sont suffisantes pour ce composé. Les normes issues de la réglementation néerlandaise (circulaire du 27 juin 2013) fixant comme niveaux indicatifs de pollution grave : 1000 mg/kg dans les sols et 0,02 µg/L dans les eaux souterraines peuvent également être considérées.</t>
  </si>
  <si>
    <t>non recherché</t>
  </si>
  <si>
    <t>chlordane</t>
  </si>
  <si>
    <t>dieldrine</t>
  </si>
  <si>
    <t>valeurs d’intervention établies par les Pays–Bas (2013): 20 mg/kg dans les sols et 1500 µg/L dans les eaux souterraines. Les carences autant que les excès de thiocyanates sont néfastes pour la santé humaine (influence sur le système immunitaire et perturbateurs endocriniens).</t>
  </si>
  <si>
    <t>se rapporter à annexe 1 du Décret Sols - phénol --&gt; base de comparaison sécuritaire en première approche</t>
  </si>
  <si>
    <t>absence de données toxicologiques dans la littérature --&gt; comparer les concentrations obtenues à un bruit de fond local (moyenne sur 3 mesures). A titre de comparaison, la teneur naturelle dans les sols en France, dans la région Nord-Pas de Calais – dont les sols sont proches géologiquement de ceux de la Wallonie - a été mesurée avec une médiane de 0,16 mg/kg sur 271 échantillons de surface (source : Sterckeman T. et al, Référentiel pédo-géochimique du Nord-Pas de Calais, Etude et Gestion des sols, Volume 14, 2, 2007). 
Ce composé n’est pas attendu dans les eaux souterraines par lessivage car la majorité des composés du bismuth sont insolubles dans l’eau.</t>
  </si>
  <si>
    <t>comparaison des concentrations de la zone impactée avec valeurs représentatives du bruit de fond local (3 mesures hors impact présumé)</t>
  </si>
  <si>
    <t>métal alcalin pour lequel aucune donnée toxicologique n'est retrouvée dans la littérature. Très réactif, le lithium n’existe pas à l’état natif dans le milieu naturel mais uniquement sous forme de composés ioniques. En conséquence, comparer les concentrations obtenues à un bruit de fond local (moyenne sur 3 mesures)</t>
  </si>
  <si>
    <t>DDT</t>
  </si>
  <si>
    <t>-</t>
  </si>
  <si>
    <t>usages décret sols 5/12/2008</t>
  </si>
  <si>
    <t>usage I</t>
  </si>
  <si>
    <t>usage II</t>
  </si>
  <si>
    <t>usage III</t>
  </si>
  <si>
    <t>usage IV</t>
  </si>
  <si>
    <t>usage V</t>
  </si>
  <si>
    <t>autres usages standards décrits dans le GRER</t>
  </si>
  <si>
    <t>I</t>
  </si>
  <si>
    <t>IIa</t>
  </si>
  <si>
    <t>IIb</t>
  </si>
  <si>
    <t>IIIa</t>
  </si>
  <si>
    <t>IIIb</t>
  </si>
  <si>
    <t>IVa</t>
  </si>
  <si>
    <t>IVb</t>
  </si>
  <si>
    <t>Vint</t>
  </si>
  <si>
    <t>Vext</t>
  </si>
  <si>
    <t>min(IVa;IVb;Vint;Vext)</t>
  </si>
  <si>
    <t>min (Vint; Vext)</t>
  </si>
  <si>
    <t>Groupe IARC</t>
  </si>
  <si>
    <t>Usage naturel</t>
  </si>
  <si>
    <t>Usage agricole (qualité productions agricoles)</t>
  </si>
  <si>
    <t>Usage agricole</t>
  </si>
  <si>
    <r>
      <t xml:space="preserve">Usage résidentiel </t>
    </r>
    <r>
      <rPr>
        <b/>
        <sz val="11"/>
        <color indexed="10"/>
        <rFont val="Calibri"/>
        <family val="2"/>
        <scheme val="minor"/>
      </rPr>
      <t>avec</t>
    </r>
    <r>
      <rPr>
        <b/>
        <sz val="11"/>
        <color indexed="62"/>
        <rFont val="Calibri"/>
        <family val="2"/>
        <scheme val="minor"/>
      </rPr>
      <t xml:space="preserve"> jardin potager</t>
    </r>
  </si>
  <si>
    <r>
      <t xml:space="preserve">Usage résidentiel </t>
    </r>
    <r>
      <rPr>
        <b/>
        <sz val="11"/>
        <color indexed="10"/>
        <rFont val="Calibri"/>
        <family val="2"/>
        <scheme val="minor"/>
      </rPr>
      <t>sans</t>
    </r>
    <r>
      <rPr>
        <b/>
        <sz val="11"/>
        <color indexed="62"/>
        <rFont val="Calibri"/>
        <family val="2"/>
        <scheme val="minor"/>
      </rPr>
      <t xml:space="preserve"> jardin potager</t>
    </r>
  </si>
  <si>
    <r>
      <t xml:space="preserve">Usage récréatif </t>
    </r>
    <r>
      <rPr>
        <b/>
        <sz val="11"/>
        <color indexed="10"/>
        <rFont val="Calibri"/>
        <family val="2"/>
        <scheme val="minor"/>
      </rPr>
      <t>avec</t>
    </r>
    <r>
      <rPr>
        <b/>
        <sz val="11"/>
        <color indexed="62"/>
        <rFont val="Calibri"/>
        <family val="2"/>
        <scheme val="minor"/>
      </rPr>
      <t xml:space="preserve"> bâti</t>
    </r>
  </si>
  <si>
    <r>
      <t xml:space="preserve">Usage récréatif </t>
    </r>
    <r>
      <rPr>
        <b/>
        <sz val="11"/>
        <color indexed="10"/>
        <rFont val="Calibri"/>
        <family val="2"/>
        <scheme val="minor"/>
      </rPr>
      <t>sans</t>
    </r>
    <r>
      <rPr>
        <b/>
        <sz val="11"/>
        <color indexed="62"/>
        <rFont val="Calibri"/>
        <family val="2"/>
        <scheme val="minor"/>
      </rPr>
      <t xml:space="preserve"> bâti</t>
    </r>
  </si>
  <si>
    <t>Usage industriel- Intérieur</t>
  </si>
  <si>
    <t>Usage industriel-extérieur</t>
  </si>
  <si>
    <t>Usage Récréatif/Commercial</t>
  </si>
  <si>
    <t>Usage Industriel</t>
  </si>
  <si>
    <t>NC</t>
  </si>
  <si>
    <t>2B</t>
  </si>
  <si>
    <t>2A</t>
  </si>
  <si>
    <t>2B --&gt; 1</t>
  </si>
  <si>
    <t>Valeur paramétrique eau potable Wallonie (Annexes XIV et XXXI Code de l'Eau) - µg/L</t>
  </si>
  <si>
    <t>Norme d'assainissement Flandre (AGF 14/12/2007) - µg/L</t>
  </si>
  <si>
    <t>Norme d'intervention Bruxelles-Capitale (Arrêté du 8/10/2015) - µg/L</t>
  </si>
  <si>
    <t>Valeur limite eau potable OMS (2011) - µg/L</t>
  </si>
  <si>
    <t>Valeur d'intervention Pays-Bas tableau 1 (2013) - µg/L</t>
  </si>
  <si>
    <t>Valeur limite EPA (MCL, imprimé le 17/08/2016) - µg/L</t>
  </si>
  <si>
    <t>Valeur limite OEHHA (NL, imprimé le 12/10/2015) - µg/L</t>
  </si>
  <si>
    <t>Valeur limite EPA (Regional Screening Levels, Mai 2016) dans l'eau du robinet - µg/L</t>
  </si>
  <si>
    <t>Niveau indicatif de pollution grave Pays-Bas tableau 2 (2013) - µg/L</t>
  </si>
  <si>
    <t>VTR orale (mg/kg.j)</t>
  </si>
  <si>
    <t>Calcul VS_nappe SPAQυE - méthodologie OMS (µg/L)</t>
  </si>
  <si>
    <t>VL nappe sélectionnée (µg/L)</t>
  </si>
  <si>
    <t>Origine VL nappe sélectionnée</t>
  </si>
  <si>
    <t>Code de l'Eau</t>
  </si>
  <si>
    <t>OMS (2011)</t>
  </si>
  <si>
    <t>US-EPA (MCL, 2015)</t>
  </si>
  <si>
    <t>Pays-Bas (2013)</t>
  </si>
  <si>
    <t>US-EPA (RSL, 2016)</t>
  </si>
  <si>
    <t>Calcul SPAQυE</t>
  </si>
  <si>
    <t>OEHHA (NL)</t>
  </si>
  <si>
    <t>Flandre (2007)</t>
  </si>
  <si>
    <t>Arrêté Bruxelles (2015)</t>
  </si>
  <si>
    <t>valeur minimale entre les 3 isomères</t>
  </si>
  <si>
    <t>700 ou 5000</t>
  </si>
  <si>
    <t>3.10-5</t>
  </si>
  <si>
    <t>US-EPA (MCL)</t>
  </si>
  <si>
    <t>pas de VTR</t>
  </si>
  <si>
    <t>Pays-Bas (2013) - niveau indicatif</t>
  </si>
  <si>
    <t>x</t>
  </si>
  <si>
    <t>EPA - RSL, May 2016</t>
  </si>
  <si>
    <t>liste des PNN pour lesquels aucune valeur limite n'a pu être calculée par manque de données toxicologiques et/ou de valeurs physico-chimiques pour les substances dans les bases de données scientifiques</t>
  </si>
  <si>
    <t xml:space="preserve">PNN </t>
  </si>
  <si>
    <t>n° CAS</t>
  </si>
  <si>
    <t>recommandations</t>
  </si>
  <si>
    <t>composés organiques</t>
  </si>
  <si>
    <r>
      <t>approche précautionneuse en comparant les concentrations représentatives du o,p-DDT aux VL</t>
    </r>
    <r>
      <rPr>
        <vertAlign val="subscript"/>
        <sz val="10"/>
        <color theme="1"/>
        <rFont val="Verdana"/>
        <family val="2"/>
      </rPr>
      <t>H</t>
    </r>
    <r>
      <rPr>
        <sz val="10"/>
        <color theme="1"/>
        <rFont val="Verdana"/>
        <family val="2"/>
      </rPr>
      <t xml:space="preserve"> calculées pour le p,p-DDT. A noter que l’isomère p,p- est le plus représentatif d’un mélange de DDT commercial (environ 81% de p,p- et 19% de o,p-).</t>
    </r>
  </si>
  <si>
    <t>considérer la valeur limite du Code de l'Eau de 0.1 µg/l pour VL nappe</t>
  </si>
  <si>
    <t>composés inorganiques</t>
  </si>
  <si>
    <t>paramètre non pertinent de normer. Envisager la pertinence de doser l'ammonium et les nitrates dans les eaux souterraines</t>
  </si>
  <si>
    <t>composé naturel majoritaire dans le sol et dans l'eau souterraine, pas pertinent de calculer des valeurs limites</t>
  </si>
  <si>
    <t>7440-70-2</t>
  </si>
  <si>
    <t>micronutriment essentiel à l'alimentation, pour lequel aucune donnée de toxicité n'a été retrouvée dans la littérature.
aucune valeur limite n’a été établie pour les éléments majeurs présents dans les sols (calcium, potassium, magnésium, sodium, ammonium, phosphates, chlorures et sulfates) conformément à la position de l’EPA (référence : EPA (1989). “Risk assessment guidance for Superfund – Volume I – Human Health Evaluation Manual (Part A)”, page 5-23). En effet, l’EPA précise dans ce guide que « les substances considérées comme des éléments nutritifs pour l’homme ou qui ne pourraient être toxiques qu’à de très fortes doses (bien plus élevées que celles mesurées sur un site) ne sont pas prises en compte dans une évaluation des risques pour la santé humaine</t>
  </si>
  <si>
    <t>du fait de sa très forte solubilité, cette substance ne garde pas sa forme chimique initiale et se dissocie dans les sols pour former d’autres substances --&gt; doser les chlorures et le calcium dans l'eau souterraine</t>
  </si>
  <si>
    <t>du fait de sa très forte solubilité, cette substance ne garde pas sa forme chimique initiale et se dissocie dans les sols pour former d’autres substances --&gt; doser l'ammonium et les chlorures dans l'eau souterraine</t>
  </si>
  <si>
    <t>aucune valeur limite n’a été établie pour les éléments majeurs présents dans les sols (calcium, potassium, magnésium, sodium, ammonium, phosphates, chlorures et sulfates) conformément à la position de l’EPA (référence : EPA (1989). “Risk assessment guidance for Superfund – Volume I – Human Health Evaluation Manual (Part A)”, page 5-23). En effet, l’EPA précise dans ce guide que « les substances considérées comme des éléments nutritifs pour l’homme ou qui ne pourraient être toxiques qu’à de très fortes doses (bien plus élevées que celles mesurées sur un site) ne sont pas prises en compte dans une évaluation des risques pour la santé humaine</t>
  </si>
  <si>
    <t>phosphate</t>
  </si>
  <si>
    <t>paramètre à considérer uniquement dans les eaux souterraines.
aucune valeur limite n’a été établie pour les éléments majeurs présents dans les sols (calcium, potassium, magnésium, sodium, ammonium, phosphates, chlorures et sulfates) conformément à la position de l’EPA (référence : EPA (1989). “Risk assessment guidance for Superfund – Volume I – Human Health Evaluation Manual (Part A)”, page 5-23). En effet, l’EPA précise dans ce guide que « les substances considérées comme des éléments nutritifs pour l’homme ou qui ne pourraient être toxiques qu’à de très fortes doses (bien plus élevées que celles mesurées sur un site) ne sont pas prises en compte dans une évaluation des risques pour la santé humaine</t>
  </si>
  <si>
    <t>paramètre non pertinent de normer. Envisager la pertinence de doser les phosphates dans les eaux souterraines</t>
  </si>
  <si>
    <t>7440-09-7</t>
  </si>
  <si>
    <t>paramètre à considérer uniquement dans les eaux souterraines (VL nappe = 200 mg/l - origine: Code de l'Eau)
aucune valeur limite n’a été établie pour les éléments majeurs présents dans les sols (calcium, potassium, magnésium, sodium, ammonium, phosphates, chlorures et sulfates) conformément à la position de l’EPA (référence : EPA (1989). “Risk assessment guidance for Superfund – Volume I – Human Health Evaluation Manual (Part A)”, page 5-23). En effet, l’EPA précise dans ce guide que « les substances considérées comme des éléments nutritifs pour l’homme ou qui ne pourraient être toxiques qu’à de très fortes doses (bien plus élevées que celles mesurées sur un site) ne sont pas prises en compte dans une évaluation des risques pour la santé humaine</t>
  </si>
  <si>
    <t>paramètre non pertinent de normer. Envisager la pertinence de doser les sulfates dans les eaux souterraines et analyser la spéciation du soufre (sous quelles formes est il présent, quel est la nocivité des formes présentes ?)</t>
  </si>
  <si>
    <t>indices</t>
  </si>
  <si>
    <t>il n'est pas pertinent de proposer une norme pour une mesure de type indice reliée à un ou plusieurs composés organiques de propriétés potentiellement très différentes. On peut proposer une valeur signal de 5 mg/l dans l'eau souterraine (origine: conditions sectorielles d'exploitation des CET). Pour le sol, il convient de comparer les valeurs obtenues en zone impactée avec une moyenne locale en zone présumée non impactée</t>
  </si>
  <si>
    <t>N Kjeldahl</t>
  </si>
  <si>
    <t>paramètre indicateur global à interpréter</t>
  </si>
  <si>
    <t>Propriétés physico-chimiques (et unités)</t>
  </si>
  <si>
    <t>Valeurs toxicologiques de référence (et unités)</t>
  </si>
  <si>
    <t>Facteurs de transfert vers les végétaux( et unités)</t>
  </si>
  <si>
    <t>Autres facteurs de transfert (et unités)</t>
  </si>
  <si>
    <t>code SPAQUE</t>
  </si>
  <si>
    <t>Formule chimique</t>
  </si>
  <si>
    <t>Masse moléculaire</t>
  </si>
  <si>
    <r>
      <rPr>
        <b/>
        <sz val="10"/>
        <rFont val="Arial"/>
        <family val="2"/>
      </rPr>
      <t>Solubilité</t>
    </r>
    <r>
      <rPr>
        <sz val="10"/>
        <rFont val="Arial"/>
        <family val="2"/>
      </rPr>
      <t xml:space="preserve"> (ATTENTION: introduire "0" si composé insoluble)</t>
    </r>
  </si>
  <si>
    <t>Constante d'Henry H</t>
  </si>
  <si>
    <t>Dpe</t>
  </si>
  <si>
    <t>log Kow</t>
  </si>
  <si>
    <t>Kow</t>
  </si>
  <si>
    <t>log Koc</t>
  </si>
  <si>
    <r>
      <t xml:space="preserve">Koc </t>
    </r>
    <r>
      <rPr>
        <sz val="10"/>
        <rFont val="Arial"/>
        <family val="2"/>
      </rPr>
      <t>(pour les organiques)</t>
    </r>
    <r>
      <rPr>
        <b/>
        <sz val="10"/>
        <rFont val="Arial"/>
        <family val="2"/>
      </rPr>
      <t xml:space="preserve"> / Kd </t>
    </r>
    <r>
      <rPr>
        <sz val="10"/>
        <rFont val="Arial"/>
        <family val="2"/>
      </rPr>
      <t xml:space="preserve">(pour les métaux) </t>
    </r>
  </si>
  <si>
    <r>
      <rPr>
        <b/>
        <sz val="10"/>
        <rFont val="Arial"/>
        <family val="2"/>
      </rPr>
      <t>pKa</t>
    </r>
    <r>
      <rPr>
        <sz val="10"/>
        <rFont val="Arial"/>
        <family val="2"/>
      </rPr>
      <t xml:space="preserve"> (ATTENTION: Introduire "-" si la substance ne se dissocie pas)</t>
    </r>
  </si>
  <si>
    <r>
      <rPr>
        <b/>
        <sz val="10"/>
        <rFont val="Arial"/>
        <family val="2"/>
      </rPr>
      <t>Nature de la substance</t>
    </r>
    <r>
      <rPr>
        <sz val="10"/>
        <rFont val="Arial"/>
        <family val="2"/>
      </rPr>
      <t xml:space="preserve"> (ATTENTION: Introduire "1" si la substance est un acide organique ; "2" pour une base organique ;et  "-" si la substance ne se dissocie pas)</t>
    </r>
  </si>
  <si>
    <t>effets non cancérigènes à seuil</t>
  </si>
  <si>
    <t>effets cancérigènes sans seuil</t>
  </si>
  <si>
    <r>
      <t>BCF</t>
    </r>
    <r>
      <rPr>
        <vertAlign val="subscript"/>
        <sz val="10"/>
        <rFont val="Arial"/>
        <family val="2"/>
      </rPr>
      <t xml:space="preserve">pdt,dw -   </t>
    </r>
    <r>
      <rPr>
        <b/>
        <sz val="10"/>
        <rFont val="Arial"/>
        <family val="2"/>
      </rPr>
      <t>Facteur de transfert sol/pdt (poids sec/kg sol)</t>
    </r>
  </si>
  <si>
    <r>
      <t>BCF</t>
    </r>
    <r>
      <rPr>
        <vertAlign val="subscript"/>
        <sz val="10"/>
        <rFont val="Arial"/>
        <family val="2"/>
      </rPr>
      <t xml:space="preserve">pdt, fw  - </t>
    </r>
    <r>
      <rPr>
        <b/>
        <sz val="10"/>
        <rFont val="Arial"/>
        <family val="2"/>
      </rPr>
      <t>Facteur de transfert sol/pdt (poids frais/kg sol)</t>
    </r>
  </si>
  <si>
    <r>
      <t>BCF</t>
    </r>
    <r>
      <rPr>
        <vertAlign val="subscript"/>
        <sz val="10"/>
        <rFont val="Arial"/>
        <family val="2"/>
      </rPr>
      <t xml:space="preserve">leg-rac,dw  - </t>
    </r>
    <r>
      <rPr>
        <b/>
        <sz val="10"/>
        <rFont val="Arial"/>
        <family val="2"/>
      </rPr>
      <t>Facteur de transfert sol/légumes-racines (poids sec/kg sol)</t>
    </r>
  </si>
  <si>
    <r>
      <t>BCF</t>
    </r>
    <r>
      <rPr>
        <vertAlign val="subscript"/>
        <sz val="10"/>
        <rFont val="Arial"/>
        <family val="2"/>
      </rPr>
      <t xml:space="preserve">leg-rac, fw  - </t>
    </r>
    <r>
      <rPr>
        <b/>
        <sz val="10"/>
        <rFont val="Arial"/>
        <family val="2"/>
      </rPr>
      <t>Facteur de transfert sol/légumes-racines (poids frais/kg sol)</t>
    </r>
  </si>
  <si>
    <r>
      <t>BCF</t>
    </r>
    <r>
      <rPr>
        <vertAlign val="subscript"/>
        <sz val="10"/>
        <rFont val="Arial"/>
        <family val="2"/>
      </rPr>
      <t xml:space="preserve">leg-fe,dw - </t>
    </r>
    <r>
      <rPr>
        <b/>
        <sz val="10"/>
        <rFont val="Arial"/>
        <family val="2"/>
      </rPr>
      <t>Facteur de transfert sol/légumes-feuilles (poids sec/kg sol)</t>
    </r>
  </si>
  <si>
    <r>
      <t>BCF</t>
    </r>
    <r>
      <rPr>
        <vertAlign val="subscript"/>
        <sz val="10"/>
        <rFont val="Arial"/>
        <family val="2"/>
      </rPr>
      <t xml:space="preserve">leg-fe,fw -  </t>
    </r>
    <r>
      <rPr>
        <b/>
        <sz val="10"/>
        <rFont val="Arial"/>
        <family val="2"/>
      </rPr>
      <t>Facteur de transfert sol/légumes-feuilles (poids frais/kg sol)</t>
    </r>
  </si>
  <si>
    <r>
      <t>BCF</t>
    </r>
    <r>
      <rPr>
        <vertAlign val="subscript"/>
        <sz val="10"/>
        <rFont val="Arial"/>
        <family val="2"/>
      </rPr>
      <t xml:space="preserve">leg-fr,dw - </t>
    </r>
    <r>
      <rPr>
        <b/>
        <sz val="10"/>
        <rFont val="Arial"/>
        <family val="2"/>
      </rPr>
      <t>Facteur de transfert sol/légumes-fruits (poids sec/kg sol)</t>
    </r>
  </si>
  <si>
    <r>
      <t>BCF</t>
    </r>
    <r>
      <rPr>
        <vertAlign val="subscript"/>
        <sz val="10"/>
        <rFont val="Arial"/>
        <family val="2"/>
      </rPr>
      <t xml:space="preserve">leg-fr,fw - </t>
    </r>
    <r>
      <rPr>
        <b/>
        <sz val="10"/>
        <rFont val="Arial"/>
        <family val="2"/>
      </rPr>
      <t>Facteur de transfert sol/légumes-fruits (poids frais/kg sol)</t>
    </r>
  </si>
  <si>
    <r>
      <t>BTF</t>
    </r>
    <r>
      <rPr>
        <vertAlign val="subscript"/>
        <sz val="10"/>
        <rFont val="Arial"/>
        <family val="2"/>
      </rPr>
      <t>viande -</t>
    </r>
    <r>
      <rPr>
        <sz val="10"/>
        <rFont val="Arial"/>
        <family val="2"/>
      </rPr>
      <t xml:space="preserve"> </t>
    </r>
    <r>
      <rPr>
        <b/>
        <sz val="10"/>
        <rFont val="Arial"/>
        <family val="2"/>
      </rPr>
      <t>Facteur de facteur de biotransfert pour la viande (poids frais)</t>
    </r>
  </si>
  <si>
    <r>
      <t>BTF</t>
    </r>
    <r>
      <rPr>
        <vertAlign val="subscript"/>
        <sz val="10"/>
        <rFont val="Arial"/>
        <family val="2"/>
      </rPr>
      <t>lait -</t>
    </r>
    <r>
      <rPr>
        <sz val="10"/>
        <rFont val="Arial"/>
        <family val="2"/>
      </rPr>
      <t xml:space="preserve"> </t>
    </r>
    <r>
      <rPr>
        <b/>
        <sz val="10"/>
        <rFont val="Arial"/>
        <family val="2"/>
      </rPr>
      <t>Facteur de biotransfert pour le lait (poids frais)</t>
    </r>
  </si>
  <si>
    <t xml:space="preserve">   VTRor</t>
  </si>
  <si>
    <t xml:space="preserve">   VTRinh à seuil</t>
  </si>
  <si>
    <r>
      <t xml:space="preserve">   VTRor
</t>
    </r>
    <r>
      <rPr>
        <sz val="10"/>
        <rFont val="Arial"/>
        <family val="2"/>
      </rPr>
      <t xml:space="preserve"> (attention, unités à introduire varient selon le modèle)</t>
    </r>
  </si>
  <si>
    <r>
      <t xml:space="preserve">   VTRinh sans seuil
</t>
    </r>
    <r>
      <rPr>
        <sz val="10"/>
        <rFont val="Arial"/>
        <family val="2"/>
      </rPr>
      <t xml:space="preserve"> (attention, unités à introduire varient selon le modèle)</t>
    </r>
  </si>
  <si>
    <t>g/mole</t>
  </si>
  <si>
    <t>mg/L</t>
  </si>
  <si>
    <t>Pa</t>
  </si>
  <si>
    <r>
      <t>Pa.m</t>
    </r>
    <r>
      <rPr>
        <vertAlign val="superscript"/>
        <sz val="10"/>
        <rFont val="Arial"/>
        <family val="2"/>
      </rPr>
      <t>3</t>
    </r>
    <r>
      <rPr>
        <vertAlign val="subscript"/>
        <sz val="10"/>
        <rFont val="Arial"/>
        <family val="2"/>
      </rPr>
      <t>aq</t>
    </r>
    <r>
      <rPr>
        <sz val="10"/>
        <rFont val="Arial"/>
        <family val="2"/>
      </rPr>
      <t>/mol</t>
    </r>
    <r>
      <rPr>
        <vertAlign val="subscript"/>
        <sz val="10"/>
        <rFont val="Arial"/>
        <family val="2"/>
      </rPr>
      <t>aq</t>
    </r>
  </si>
  <si>
    <r>
      <t>m</t>
    </r>
    <r>
      <rPr>
        <vertAlign val="superscript"/>
        <sz val="10"/>
        <rFont val="Arial"/>
        <family val="2"/>
      </rPr>
      <t>2</t>
    </r>
    <r>
      <rPr>
        <sz val="10"/>
        <rFont val="Arial"/>
        <family val="2"/>
      </rPr>
      <t>/jr</t>
    </r>
  </si>
  <si>
    <t>l/kg</t>
  </si>
  <si>
    <t>mg/kg.j</t>
  </si>
  <si>
    <r>
      <t>mg/m</t>
    </r>
    <r>
      <rPr>
        <vertAlign val="superscript"/>
        <sz val="10"/>
        <rFont val="Arial"/>
        <family val="2"/>
      </rPr>
      <t>3</t>
    </r>
  </si>
  <si>
    <t>mg/kg.jr</t>
  </si>
  <si>
    <r>
      <t>(mg/kg</t>
    </r>
    <r>
      <rPr>
        <vertAlign val="subscript"/>
        <sz val="10"/>
        <rFont val="Arial"/>
        <family val="2"/>
      </rPr>
      <t>dw)</t>
    </r>
    <r>
      <rPr>
        <sz val="10"/>
        <rFont val="Arial"/>
        <family val="2"/>
      </rPr>
      <t>/(mg/kg</t>
    </r>
    <r>
      <rPr>
        <vertAlign val="subscript"/>
        <sz val="10"/>
        <rFont val="Arial"/>
        <family val="2"/>
      </rPr>
      <t>sol</t>
    </r>
    <r>
      <rPr>
        <sz val="10"/>
        <rFont val="Arial"/>
        <family val="2"/>
      </rPr>
      <t>)</t>
    </r>
  </si>
  <si>
    <r>
      <t>(mg/kg</t>
    </r>
    <r>
      <rPr>
        <vertAlign val="subscript"/>
        <sz val="10"/>
        <rFont val="Arial"/>
        <family val="2"/>
      </rPr>
      <t>fw)</t>
    </r>
    <r>
      <rPr>
        <sz val="10"/>
        <rFont val="Arial"/>
        <family val="2"/>
      </rPr>
      <t>/(mg/kg</t>
    </r>
    <r>
      <rPr>
        <vertAlign val="subscript"/>
        <sz val="10"/>
        <rFont val="Arial"/>
        <family val="2"/>
      </rPr>
      <t>sol</t>
    </r>
    <r>
      <rPr>
        <sz val="10"/>
        <rFont val="Arial"/>
        <family val="2"/>
      </rPr>
      <t>)</t>
    </r>
  </si>
  <si>
    <r>
      <t>(mg</t>
    </r>
    <r>
      <rPr>
        <vertAlign val="subscript"/>
        <sz val="10"/>
        <rFont val="Arial"/>
        <family val="2"/>
      </rPr>
      <t>polluant</t>
    </r>
    <r>
      <rPr>
        <sz val="10"/>
        <rFont val="Arial"/>
        <family val="2"/>
      </rPr>
      <t>/kg</t>
    </r>
    <r>
      <rPr>
        <vertAlign val="subscript"/>
        <sz val="10"/>
        <rFont val="Arial"/>
        <family val="2"/>
      </rPr>
      <t>viande</t>
    </r>
    <r>
      <rPr>
        <sz val="10"/>
        <rFont val="Arial"/>
        <family val="2"/>
      </rPr>
      <t>)/(mg</t>
    </r>
    <r>
      <rPr>
        <vertAlign val="subscript"/>
        <sz val="10"/>
        <rFont val="Arial"/>
        <family val="2"/>
      </rPr>
      <t>polluant</t>
    </r>
    <r>
      <rPr>
        <sz val="10"/>
        <rFont val="Arial"/>
        <family val="2"/>
      </rPr>
      <t>/jr)</t>
    </r>
  </si>
  <si>
    <r>
      <t>(mg</t>
    </r>
    <r>
      <rPr>
        <vertAlign val="subscript"/>
        <sz val="10"/>
        <rFont val="Arial"/>
        <family val="2"/>
      </rPr>
      <t>polluant</t>
    </r>
    <r>
      <rPr>
        <sz val="10"/>
        <rFont val="Arial"/>
        <family val="2"/>
      </rPr>
      <t>/kg</t>
    </r>
    <r>
      <rPr>
        <vertAlign val="subscript"/>
        <sz val="10"/>
        <rFont val="Arial"/>
        <family val="2"/>
      </rPr>
      <t>lait</t>
    </r>
    <r>
      <rPr>
        <sz val="10"/>
        <rFont val="Arial"/>
        <family val="2"/>
      </rPr>
      <t>)/(mg</t>
    </r>
    <r>
      <rPr>
        <vertAlign val="subscript"/>
        <sz val="10"/>
        <rFont val="Arial"/>
        <family val="2"/>
      </rPr>
      <t>polluant</t>
    </r>
    <r>
      <rPr>
        <sz val="10"/>
        <rFont val="Arial"/>
        <family val="2"/>
      </rPr>
      <t>/jr)</t>
    </r>
  </si>
  <si>
    <r>
      <t>C</t>
    </r>
    <r>
      <rPr>
        <vertAlign val="subscript"/>
        <sz val="10"/>
        <rFont val="Arial"/>
        <family val="2"/>
      </rPr>
      <t>6</t>
    </r>
    <r>
      <rPr>
        <sz val="10"/>
        <rFont val="Arial"/>
        <family val="2"/>
      </rPr>
      <t>H</t>
    </r>
    <r>
      <rPr>
        <vertAlign val="subscript"/>
        <sz val="10"/>
        <rFont val="Arial"/>
        <family val="2"/>
      </rPr>
      <t>5</t>
    </r>
    <r>
      <rPr>
        <sz val="10"/>
        <rFont val="Arial"/>
        <family val="2"/>
      </rPr>
      <t>Cl</t>
    </r>
  </si>
  <si>
    <t>Mackay et al., 2006</t>
  </si>
  <si>
    <t>Lide (2009-2010).CRC Handbook of Chemistry and Physics. David R. Lide Editor-in-Chief 90th Edition (chap,3 p92)</t>
  </si>
  <si>
    <t>MACKAY Second Edition. Hanbook Of Physical-Chemical Properties and Environmental Fate for Organic Chemicals- Calcul sur base de l'équation IUPAC à 10°C, 1985 [283-363 K]</t>
  </si>
  <si>
    <t>MACKAY Second Edition. Hanbook Of Physical-Chemical Properties and Environmental Fate for Organic Chemicals- Sur 3 équations (range 10 °C: 700/673/654 Pa)), la valeur la plus précautionneuse est retenue : Antoine/Weast, 1972 [-13 à 249,8]</t>
  </si>
  <si>
    <t>Lijzen, J.P.A, A.J. Baars, P.F. Otte, M.G.J. Rikken, F.A. Swartjes, E.M.J. Verbrµggen, A.P. van Wezel. (2001). Technical evaluation of the Intervention Values for soil/sediment and groundwater. Human and ecotoxicological risk assessment and derivation of risk limits for soil, aquatic sediment, and groundwater. RIVM Report n° 711701 023, Bilthoven, The Netherlands.</t>
  </si>
  <si>
    <t>Lide (2009-2010). CRC Handbook of Chemistry and Physics. David R.Lide Editor-in-Chief 90th Edition</t>
  </si>
  <si>
    <t>MACKAY Second Edition, volume 2 p1262. Hanbook Of Physical-Chemical Properties and Environmental Fate for Organic Chemicals. Moyenne géométrique, les valeurs proposées pour les sédiments et la zéolites, ainsi que les zéolites ont été éliminées.</t>
  </si>
  <si>
    <t xml:space="preserve">, </t>
  </si>
  <si>
    <t>US-EPA-IRIS (1993)</t>
  </si>
  <si>
    <t>OMS (2000)</t>
  </si>
  <si>
    <r>
      <t>C</t>
    </r>
    <r>
      <rPr>
        <vertAlign val="subscript"/>
        <sz val="10"/>
        <rFont val="Arial"/>
        <family val="2"/>
      </rPr>
      <t>6</t>
    </r>
    <r>
      <rPr>
        <sz val="10"/>
        <rFont val="Arial"/>
        <family val="2"/>
      </rPr>
      <t>H</t>
    </r>
    <r>
      <rPr>
        <vertAlign val="subscript"/>
        <sz val="10"/>
        <rFont val="Arial"/>
        <family val="2"/>
      </rPr>
      <t>4</t>
    </r>
    <r>
      <rPr>
        <sz val="10"/>
        <rFont val="Arial"/>
        <family val="2"/>
      </rPr>
      <t>Cl</t>
    </r>
    <r>
      <rPr>
        <vertAlign val="subscript"/>
        <sz val="10"/>
        <rFont val="Arial"/>
        <family val="2"/>
      </rPr>
      <t>2</t>
    </r>
  </si>
  <si>
    <t>Lide (2009-2010). CRC Handbook of Chemistry and Physics. David R. Lide Editor-in-Chief 90th Edition 2009-2010 (chap.3 p150)</t>
  </si>
  <si>
    <t>MACKAY Second Edition. Hanbook Of Physical-Chemical Properties and Environmental Fate for Organic Chemicals- Calcul sur base de l'équation IUPAC à 10°C [273-333 K]</t>
  </si>
  <si>
    <t>Lide (2009-2010). CRC Handbook of Chemistry and Physics. David R.Lide Editor-in-Chief 90th Edition - Calcul basé sur équation de régression à 10 °C</t>
  </si>
  <si>
    <t>MACKAY Second edition, volume 2 (p 1271).Handbook of Physical-Chemical Properties and Environmental Fate for Organic Chmicals. Moyenne géométrique. Les valeurs pour les sédiments et les zéolites, ainsi que pour les range ont étées éliminées.</t>
  </si>
  <si>
    <t>US-EPA-IRIS</t>
  </si>
  <si>
    <t>RIVM</t>
  </si>
  <si>
    <t>C6H4Cl2</t>
  </si>
  <si>
    <t>Lide (2009-2010). CRC Handbook of Chemistry and Physics. David R. Lide Editot-in-Chief 90th Edition 2009-2010. (chap3 p150)</t>
  </si>
  <si>
    <t>Lide (2009-2010) - CRC Handbook of Chemistry and Physics David R. Lide editor-in-Cheif, 90th Edition 2009-2010 - Valeur à 10°C</t>
  </si>
  <si>
    <t>Mackay second edition, volume 2.Handbook of Physical-Chemical Properties and Environmental Fate for Organic Chemicals. Equation d'Antoine/pressure gauge Polednicek [273-323 K] - calculée à 10 °C</t>
  </si>
  <si>
    <t>MACKAY second edition, volume 2 p 1290. Handbook of Physical-Chemical Properties and Environmental Fate for Organic Chemicals. Moyenne géométrique.Les valeurs proposées pour les sédiments et les zéolites, ainsi que pour les range ont été éliminées.</t>
  </si>
  <si>
    <t>ATSDR</t>
  </si>
  <si>
    <t>OEHHA - OSF = 4e-2 (mg/kg.j)-1</t>
  </si>
  <si>
    <t>OEHHA - unit risk = 1,1E-5 (µg/m3)-1</t>
  </si>
  <si>
    <t>C6H3Cl3</t>
  </si>
  <si>
    <t>Lide (2000). Handbook of Chemistry and Physics. 81th Edition. 2000-2001. CRC Press, New York.</t>
  </si>
  <si>
    <t>MACKAY Second Edition. Hanbook Of Physical-Chemical Properties and Environmental Fate for Organic Chemicals- pas de valeur/équation à 10 °C- valeur à 15°C (Finizio, 2001)</t>
  </si>
  <si>
    <t xml:space="preserve">MACKAY Second Edition. Hanbook Of Physical-Chemical Properties and Environmental Fate for Organic Chemicals- calcul à 10 °C basé sur équation de Shui &amp; Ma (2000)-range [5-50 °C] </t>
  </si>
  <si>
    <t>LIDE (2009-2010). Handbook of Chemistry and Physics. 90th Edition. 2009-2010. CRC Press, New York.</t>
  </si>
  <si>
    <t>Santé Canada (2004)</t>
  </si>
  <si>
    <t>Lide (2000). Handbook of Chemistry and Physics. 81th Edition. 2000-2001. CRC Press, New York - Valeur à 15°C</t>
  </si>
  <si>
    <t>MACKAY Second Edition. Hanbook Of Physical-Chemical Properties and Environmental Fate for Organic Chemicals- équation de Antoine/Stephenson à 10 °C(1987)-range [279-290 K]</t>
  </si>
  <si>
    <t>Lide (2009-2010). CRC Handbook of Chemistry and Physics. David R. Lide Editor-in-Chief 90th Edition 2009-2010. (chap 3 p 492).</t>
  </si>
  <si>
    <t>MACKAY Second Edition. Hanbook Of Physical-Chemical Properties and Environmental Fate for Organic Chemicals- pas de valeur/équation à 10 °C- valeur à 15°C (Shiu, 1997)</t>
  </si>
  <si>
    <t>MACKAY Second Edition. Hanbook Of Physical-Chemical Properties and Environmental Fate for Organic Chemicals- équation à 10 °C (Antoine, 1987) - range [282-301 K]</t>
  </si>
  <si>
    <t>MACKAY second edition, volume 2 p1307. Hanbook of Physical-Chemical Properties and Environmental Fate for Organic Chemicals. Moyenne géométrique.</t>
  </si>
  <si>
    <r>
      <t>C</t>
    </r>
    <r>
      <rPr>
        <vertAlign val="subscript"/>
        <sz val="10"/>
        <rFont val="Arial"/>
        <family val="2"/>
      </rPr>
      <t>6</t>
    </r>
    <r>
      <rPr>
        <sz val="10"/>
        <rFont val="Arial"/>
        <family val="2"/>
      </rPr>
      <t>H</t>
    </r>
    <r>
      <rPr>
        <vertAlign val="subscript"/>
        <sz val="10"/>
        <rFont val="Arial"/>
        <family val="2"/>
      </rPr>
      <t>2</t>
    </r>
    <r>
      <rPr>
        <sz val="10"/>
        <rFont val="Arial"/>
        <family val="2"/>
      </rPr>
      <t>Cl</t>
    </r>
    <r>
      <rPr>
        <vertAlign val="subscript"/>
        <sz val="10"/>
        <rFont val="Arial"/>
        <family val="2"/>
      </rPr>
      <t>4</t>
    </r>
  </si>
  <si>
    <t xml:space="preserve">MACKAY Second Edition. Hanbook Of Physical-Chemical Properties and Environmental Fate for Organic Chemicals- pas de valeur/équation à 10 °C- valeur à 15°C </t>
  </si>
  <si>
    <t>Verschueren - Handbookof Environmental dat on organic chemicals -3rd edition (1996)- pas de valeur/équation dans Lide et MacKay- Valeur à 20 °C</t>
  </si>
  <si>
    <t xml:space="preserve">MACKAY second edition Handbook of Physical-Chemical Properties and Environmental Fate for Organic Chemicals. Moyenne géométrique. Les valeurs proposées pour les sédiments et les zéolites, ainsi que pour les range ont étées éliminées. </t>
  </si>
  <si>
    <r>
      <t>C</t>
    </r>
    <r>
      <rPr>
        <vertAlign val="subscript"/>
        <sz val="10"/>
        <rFont val="Arial"/>
        <family val="2"/>
      </rPr>
      <t>6</t>
    </r>
    <r>
      <rPr>
        <sz val="10"/>
        <rFont val="Arial"/>
        <family val="2"/>
      </rPr>
      <t>H</t>
    </r>
    <r>
      <rPr>
        <vertAlign val="subscript"/>
        <sz val="10"/>
        <rFont val="Arial"/>
        <family val="2"/>
      </rPr>
      <t>2Cl4</t>
    </r>
  </si>
  <si>
    <t>MACKAY Second Edition. Hanbook Of Physical-Chemical Properties and Environmental Fate for Organic Chemicals- pas de valeur/équation à 10 °C- valeur à 15°C  (Shiu, 1997)</t>
  </si>
  <si>
    <t>MACKAY Second Edition. Hanbook Of Physical-Chemical Properties and Environmental Fate for Organic Chemicals- pas de valeur/équation à 10 °C- valeur à 17°C (Blok, 2001)</t>
  </si>
  <si>
    <t xml:space="preserve">MACKAY second edition, Handbook of Physical-Chemical Properties and Environmental Fate for Organic Chemicals. Moyenne géométrique. Les valeurs proposées pour les sédiments et les zéolites, ainsi que pour les range ont étées éliminées. </t>
  </si>
  <si>
    <t>C6HCl5</t>
  </si>
  <si>
    <t>CRC Hanbook of Chemistry and Physics. David R. Lide Editor-in-Chief, 90th Edition 2009-2010 (chap 3 p 412)</t>
  </si>
  <si>
    <t>MACKAY Second Edition. Hanbook Of Physical-Chemical Properties and Environmental Fate for Organic Chemicals- pas de valeur/équation à 10 °C- valeur à 15°C  (Shiu &amp; Ma)</t>
  </si>
  <si>
    <t>MACKAY Second Edition. Hanbook Of Physical-Chemical Properties and Environmental Fate for Organic Chemicals-calcul sur base de l'équation de Rohac à 10 °C</t>
  </si>
  <si>
    <t>Kreule (1995) cité par l'OVAM dans AANVULLING BIJ BASISINFORMATIE VOOR RISICO-EVALUATIES - Polyaromatische koolwaterstoffen en MTBE - Juni 2003</t>
  </si>
  <si>
    <t xml:space="preserve">MACKAY second edition, volume 2, p1338. Handbook of Physical-Chemical Properties and Environmental Fate for Organic Chemicals. Moyenne géométrique. Les valeurs proposées pour les sédiments et les zéolites, ainsi que pour les range ont étées éliminées. </t>
  </si>
  <si>
    <t>US-EPA-IRIS ()</t>
  </si>
  <si>
    <t>C6Cl6</t>
  </si>
  <si>
    <t>CRC Handbook of Chemistry and Physics. David R. Lide Editor-in-Chief 90th Edition 2009-2010. (chap8 p 104)</t>
  </si>
  <si>
    <t>MACKAY Second Edition. Hanbook Of Physical-Chemical Properties and Environmental Fate for Organic Chemicals- pas de valeur/équation à 10 °C- valeur à 15°C  (OECD)</t>
  </si>
  <si>
    <t>MACKAY Second Edition. Hanbook Of Physical-Chemical Properties and Environmental Fate for Organic Chemicals-calcul sur base de l'équation de Wania à 10 °C [-30 à 40°C]</t>
  </si>
  <si>
    <t>MaCKAY second edition, volume 2 p 1346-p1347). Handbook of Physical-Chemical Prooperties and Environmental Fate for Organic Chemicals. Moyenne géométrique. Les valeurs proposées pour les sédiments et les zéolites, ainsi que pour les range n'ont pas étées prises en compte dans le calcul de la moyenne géométrique.</t>
  </si>
  <si>
    <t>OEHHA - oral slope factor = 1,8 (mg/kg.j)-1</t>
  </si>
  <si>
    <t>OEHHA - unit risk = 5,1e-4 (µg/m3)-1</t>
  </si>
  <si>
    <t>C7H8O</t>
  </si>
  <si>
    <t>Lide (2009-2010). Handbook of Chemistry and Physics. David R. Lide Editor-in-Chief 90th Edition 2009-2010</t>
  </si>
  <si>
    <t>MACKAY second edition. Handbook of Physical-Chemical Properties and Environmental Fate for Organic Chemicals.pas de valeur à 10°C- Valeur à 20°C (Erichsen, 1955)</t>
  </si>
  <si>
    <t>Lide (2009-2010). Handbook of Chemistry and Physics. David R. Lide Editor-in-Chief 90th Edition 2009-2010. Régression linéaire</t>
  </si>
  <si>
    <t>MACKAY second edition, volume 3 p 2796. Handbook Physical-Chemical Properties and Environmental Fate for Organic Chemicals. Moyenne Géométrique. Les valeurs proposées pour les sédiments et les zéolites, ainsi que pour les range ont étées éliminées.</t>
  </si>
  <si>
    <t xml:space="preserve">MaCKAY second edition, volume 3 p 2796. Handbook Physical-Chemical Properties and Environmental Fate for Organic Chemicals. Moyenne Géométrique. </t>
  </si>
  <si>
    <t>US EPA-IRIS ()- RIVM</t>
  </si>
  <si>
    <t>MACKAY second edition. Handbook of Physical-Chemical Properties and Environmental Fate for Organic Chemicals.Valeur de solubilité valable pour une température de -2°C à 87,58°C.</t>
  </si>
  <si>
    <t>MACKAY Second Edition. Hanbook Of Physical-Chemical Properties and Environmental Fate for Organic Chemicals-calcul sur base de l'équation de Antoine/Stephenson à 10 °C [273-285 K] - 1987</t>
  </si>
  <si>
    <t>MACKAY second edition,volume 3 p2805. Handbook of Physical-Chemical Properties and Environmental Fate for Organic Chemicals. Moyenne Géométrique. Les valeurs proposées pour les sédiments et les zéolites, ainsi que pour les range ont étées éliminées.</t>
  </si>
  <si>
    <t>US EPA-IRIS () - RIVM</t>
  </si>
  <si>
    <t>MACKAY second edition. Handbook of Physical-Chemical Properties and Envionmental Fate for Organic Chemcals. Valeur à 10°C (Erichsen) = valeur obtenue pour une température de 0°C à 143,7°C.</t>
  </si>
  <si>
    <t>MACKAY second edition, volume 3 p 2814. Handbook of Physical-Chemical Properties and Environmental Fate for Ogranic Chemicals. Moyenne Geométrique. Les valeurs proposées pour les sédiments et les zéolites, ainsi que pour les renga ont étées éliminées.</t>
  </si>
  <si>
    <t>C8H10O</t>
  </si>
  <si>
    <t>Lide (2000). Handbook of Chemistry and Physics. 81th Edition. 2000-2001. CRC Press, New York. Pas de valeur à 10°C - Valeur à 25°C</t>
  </si>
  <si>
    <t>MACKAY Second Edition. Hanbook Of Physical-Chemical Properties and Environmental Fate for Organic Chemicals-calcul sur base de l'équation de Antoine à 10 °C [9-45°C] - 1960</t>
  </si>
  <si>
    <t>pas de valeur dans Lijzen</t>
  </si>
  <si>
    <t>US EPA-IRIS</t>
  </si>
  <si>
    <t>Lide (2000). Handbook of Chemistry and Physics. 81th Edition. 2000-2001. CRC Press, New York. Pas de valeur/équation dans Lide/MacKay à 10 °C - Valeur à 25°C</t>
  </si>
  <si>
    <t>Lide (2000). Handbook of Chemistry and Physics. 81th Edition. 2000-2001. CRC Press, New York. Régression linéaire</t>
  </si>
  <si>
    <t>Valeur calculée à partir de Kow</t>
  </si>
  <si>
    <t>Lide (2000). Handbook of Chemistry and Physics. 81th Edition. 2000-2001. CRC Press, New York. Valeur à 25°C (pas de valeur/équation dans Lide/MacKay à 10°C)</t>
  </si>
  <si>
    <r>
      <t>C</t>
    </r>
    <r>
      <rPr>
        <vertAlign val="subscript"/>
        <sz val="10"/>
        <rFont val="Arial"/>
        <family val="2"/>
      </rPr>
      <t>6</t>
    </r>
    <r>
      <rPr>
        <sz val="10"/>
        <rFont val="Arial"/>
        <family val="2"/>
      </rPr>
      <t>H</t>
    </r>
    <r>
      <rPr>
        <vertAlign val="subscript"/>
        <sz val="10"/>
        <rFont val="Arial"/>
        <family val="2"/>
      </rPr>
      <t>5</t>
    </r>
    <r>
      <rPr>
        <sz val="10"/>
        <rFont val="Arial"/>
        <family val="2"/>
      </rPr>
      <t>ClO</t>
    </r>
  </si>
  <si>
    <t>MACKAY second edition. Handbook of Physical-Chemical Properties and Envionmental Fate for Organic Chemcals. Pas de valeur/équation à 10°C dans Lide/mackay. Valeur à 15,4°C (Achard, 1996)</t>
  </si>
  <si>
    <t>MACKAY second edition. Handbook of Physical-Chemical Properties and Envionmental Fate for Organic Chemcals. Pas de valeur/équation à 10°C dans Lide/Mackay. Calcul à 12°C sur équation d'Antoine - range (12,1-174,5°C)</t>
  </si>
  <si>
    <t>MACKAY second edition, volume 2 p 1290. Handbook of Physical-Chemical Properties and Environmental Fate for Organic Chemicals. Moyenne géométrique</t>
  </si>
  <si>
    <r>
      <t>C</t>
    </r>
    <r>
      <rPr>
        <vertAlign val="subscript"/>
        <sz val="10"/>
        <rFont val="Arial"/>
        <family val="2"/>
      </rPr>
      <t>6</t>
    </r>
    <r>
      <rPr>
        <sz val="10"/>
        <rFont val="Arial"/>
        <family val="2"/>
      </rPr>
      <t>H</t>
    </r>
    <r>
      <rPr>
        <vertAlign val="subscript"/>
        <sz val="10"/>
        <rFont val="Arial"/>
        <family val="2"/>
      </rPr>
      <t>4</t>
    </r>
    <r>
      <rPr>
        <sz val="10"/>
        <rFont val="Arial"/>
        <family val="2"/>
      </rPr>
      <t>Cl</t>
    </r>
    <r>
      <rPr>
        <vertAlign val="subscript"/>
        <sz val="10"/>
        <rFont val="Arial"/>
        <family val="2"/>
      </rPr>
      <t>2</t>
    </r>
    <r>
      <rPr>
        <sz val="10"/>
        <rFont val="Arial"/>
        <family val="2"/>
      </rPr>
      <t>O</t>
    </r>
  </si>
  <si>
    <t>CRC Handbook of Chemistry and Physics. David R. Lide Editor-in-Chief 90th Edition 2009-2010. (chap 3 p 158)</t>
  </si>
  <si>
    <t>MACKAY second edition, volume 3 p 2893. Handbook of Physical-Chmical Properties and Environmental Fate for Organic Chemicals.pas de valeur/équation à 10°C - valeur pour une température de 15,3°C (Achard, 1996)</t>
  </si>
  <si>
    <t>MACKAY second edition, volume 3 p 2893. Handbook of Physical-Chmical Properties and Environmental Fate for Organic Chemicals. La valeur de Vp est valable pour une température de 25°C (pas de valeur/équation à 10°C)</t>
  </si>
  <si>
    <t>MACKAY second edition, volume 3 p 2894. Handbook of Physical-Chemical Properties Fate for Organic Chemicals. Moyenne Géométrique. Les valeurs proposées pour les sédiments et les zéolites, ainsi que pour les range n'ont pas étées prises en compte dans le calcul de la moyenne géométrique.</t>
  </si>
  <si>
    <r>
      <t>C</t>
    </r>
    <r>
      <rPr>
        <vertAlign val="subscript"/>
        <sz val="10"/>
        <rFont val="Arial"/>
        <family val="2"/>
      </rPr>
      <t>6</t>
    </r>
    <r>
      <rPr>
        <sz val="10"/>
        <rFont val="Arial"/>
        <family val="2"/>
      </rPr>
      <t>H</t>
    </r>
    <r>
      <rPr>
        <vertAlign val="subscript"/>
        <sz val="10"/>
        <rFont val="Arial"/>
        <family val="2"/>
      </rPr>
      <t>2</t>
    </r>
    <r>
      <rPr>
        <sz val="10"/>
        <rFont val="Arial"/>
        <family val="2"/>
      </rPr>
      <t>Cl</t>
    </r>
    <r>
      <rPr>
        <vertAlign val="subscript"/>
        <sz val="10"/>
        <rFont val="Arial"/>
        <family val="2"/>
      </rPr>
      <t>3</t>
    </r>
    <r>
      <rPr>
        <sz val="10"/>
        <rFont val="Arial"/>
        <family val="2"/>
      </rPr>
      <t>OH</t>
    </r>
  </si>
  <si>
    <t>Lide (2000). Handbook of Chemistry and Physics. 81th Edition. 2000-2001. CRC Press, New York. Valeur à 20°C (pas de valeur/équation à 10°C)</t>
  </si>
  <si>
    <t>MACKAY  second edition, volume 3 p 2912. Handbook of Physical-Chemical Properties and Environental Fate for Organic Chemicals. Pas de valeur/équation à 10°C- Valeur de Antoine/Stephenson à 25°C (1987)</t>
  </si>
  <si>
    <t>Shiu et al., 1994 - measured</t>
  </si>
  <si>
    <t>MACKAY second edition, volume 3 p 2911. Handbook of Physical-Chemical Properties and Environmental Fate for Organic Chemicals. Moyenne géométrique.</t>
  </si>
  <si>
    <t>MACKAY  second edition, volume 3 p 2912. Handbook of Physical-Chemical Properties and Environental Fate for Organic Chemicals. Moyenne géométrique. Les valeurs pour les sédiments et les zéolites, ainsi quie pour les range ont étées éliminées.</t>
  </si>
  <si>
    <t>US EPA - IRIS</t>
  </si>
  <si>
    <t>CRC Handbook of Chemistry and Physics.David R. Lide Editor-in-Chief 90th Edition 2009-2010</t>
  </si>
  <si>
    <t>MACKAY second edition, volume 3 p 2893. Handbook of Physical-Chmical Properties and Environmental Fate for Organic Chemicals.pas de valeur/équation à 10°C - valeur pour une température de 19,5°C (Achard, 1996)</t>
  </si>
  <si>
    <t>MACKAY  second edition, volume 3 p 2912. Handbook of Physical-Chemical Properties and Environental Fate for Organic Chemicals. Pas de valeur/équation à 10°C- Valeur de Schmidt à 20°C (1982)</t>
  </si>
  <si>
    <t>OEHHA - oral slope factor de 7e-2 (mg/kg.j)-1</t>
  </si>
  <si>
    <t>OEHHA - unit risk de 2e-5 (µg/m3)-1</t>
  </si>
  <si>
    <t>C6H2Cl4O</t>
  </si>
  <si>
    <t>CRC Handbook of Chemistry and Physics.David R. Lide Editor-in-Chief 90th Edition 2009-2010 - pas de valeur/équation à 10°C- Valeur à 25°C</t>
  </si>
  <si>
    <t>MACKAY second edition, volume 3 p 2922-p2923. Handbook of Physical-Chemical Properties and Environmental Fate for Organic Chemicals. Pas d evaleur/équation à 10°C -Valeur de Antoine/Stephenson à 25°C (1987)</t>
  </si>
  <si>
    <t>MACKAY second edition, volume 3 p 2923-p2924. Handbook of Physical-Chemical Properties and Environmental Fate for Organic Chemicals. Moyenne géométrique.</t>
  </si>
  <si>
    <t>Santé Canada</t>
  </si>
  <si>
    <t>C6HCl5O</t>
  </si>
  <si>
    <t xml:space="preserve">CRC Handbook of Chemistry and Physics. David R. Lide Editor-in-Chief 90th Edition 2009-2010 </t>
  </si>
  <si>
    <t>C2H5Cl</t>
  </si>
  <si>
    <t>MACKAY second edition, volume 2 p 960. Handbook of Physical-Chemical Properties and Environmental Fate for Organic Chemicals. Valeur de solubilité valable pour 10°C</t>
  </si>
  <si>
    <t>MACKAY second edition, volume 2 p 960. Handbook of Physical-Chemical Properties and Environmental Fate for Organic Chemicals.</t>
  </si>
  <si>
    <t>IRIS US EPA</t>
  </si>
  <si>
    <t>C9H12</t>
  </si>
  <si>
    <t>MACKAY second edition, volume 1 p 500. Handbook of Physical-Chemical Properties and Environmental Fate for Organic Chemicals. Valeur de solubilité valable pour 15°C</t>
  </si>
  <si>
    <t>MACKAY second edition, volume 1 p 500. Handbook of Physical-Chemical Properties and Environmental Fate for Organic Chemicals.</t>
  </si>
  <si>
    <t>LIDE (2009-2010). Handbook of Chemistry and Physics. 90th Edition. 2009-2010. CRC Press, New York. Valeur identique HSDB, Verschueren et Mackay</t>
  </si>
  <si>
    <t xml:space="preserve">pas de valeur dans littérature - calcul de Log Koc à partir de Log Kow (Koc = 0,411 x Kow) </t>
  </si>
  <si>
    <t>C11H10</t>
  </si>
  <si>
    <t>MACKAY second edition- Handbook of Physical-Chemical Properties and Environmental Fate for Organic Chemicals.</t>
  </si>
  <si>
    <t>MACKAY second edition- Handbook of Physical-Chemical Properties and Environmental Fate for Organic Chemicals- Equation de Yaws (1994)- range 243-722 K- calcul à 10°C</t>
  </si>
  <si>
    <t>MACKAY second edition- Handbook of Physical-Chemical Properties and Environmental Fate for Organic Chemicals- valeur issue d'un sol</t>
  </si>
  <si>
    <t>ATSDR (MRL chronique établie en 2005)</t>
  </si>
  <si>
    <t>CRC Handbook of Chemistry and Physics. David R. Lide Editor-in-Chief 90th Edition 2009-2010  - à 25 °C</t>
  </si>
  <si>
    <t>MACKAY second edition- Handbook of Physical-Chemical Properties and Environmental Fate for Organic Chemicals- pas de valeur ou équation à 10 °C - valeur à 20 °C</t>
  </si>
  <si>
    <t>MACKAY second edition- Handbook of Physical-Chemical Properties and Environmental Fate for Organic Chemicals- moyenne géométrique de 3 valeurs issues de sédiments (seules données)</t>
  </si>
  <si>
    <t>Paramètres physico-chimiques synthétisés dans Lijzen et al. (2001)</t>
  </si>
  <si>
    <t>EPA (RfD établie en 2003)</t>
  </si>
  <si>
    <t>C2H2Cl2</t>
  </si>
  <si>
    <t>Lide (2009). Handbook of Chemistry and Physics. 90th Edition. 2009-2010. CRC Press, New York.</t>
  </si>
  <si>
    <t>Lide (2009). Handbook of Chemistry and Physics. 90th Edition. 2009-2010. CRC Press, New York.
Valeur à 25°C recommandée par l'IUPAC-NIST</t>
  </si>
  <si>
    <t xml:space="preserve">La valeur de Vp  à 10°C peut s'estimer à partir des données de LIDE (2009-2010) grâce à la régression établie à partir de ces valeurs </t>
  </si>
  <si>
    <t>Mackay, 2006 - Volume II
Valeur calculée par rapport au Kow proposée à 25°C</t>
  </si>
  <si>
    <t>OEHHA</t>
  </si>
  <si>
    <t>CHBr3</t>
  </si>
  <si>
    <t>Mackay, 2006 - Volume II
Valeur à 15 °C</t>
  </si>
  <si>
    <t>Mackay, 2006 - Volume II
Valeur à 25°C pour un sédiment retenue, car seule valeur proposée</t>
  </si>
  <si>
    <t>US EPA (IRIS)</t>
  </si>
  <si>
    <t>US EPA (IRIS) - unit risk de 1,1e-6 (µg/m3)-1</t>
  </si>
  <si>
    <t>CHBr2Cl</t>
  </si>
  <si>
    <t>Mackay, 2006 - Volume II
Valeur à 20°C</t>
  </si>
  <si>
    <t>Mackay, 2006 - Volume II
Moyene géométrique de 5 valeurs proposées à 25°C (les valeurs proposées pour les sédiments ont été éliminées)</t>
  </si>
  <si>
    <t>Valeur calculée d'après l'équation de Karickhoff (1981) : Koc = 0,411 x Kow</t>
  </si>
  <si>
    <t>OEHHA - unit risk de 2,7e-5 (µg/m3)-1</t>
  </si>
  <si>
    <t>C24H38O4</t>
  </si>
  <si>
    <t>Lide (2009). Handbook of Chemistry and Physics. 90th Edition. 2009-2010. CRC Press, New York.- idem HSDB-ATSDR-Mackay</t>
  </si>
  <si>
    <t xml:space="preserve">Valeur de 3.10-3 mg/L de Mackay, 2006 - Volume III retenue par erreur - valeur Lide retenue = valeur HSDB  à 25 °C
Valeur à 25°C </t>
  </si>
  <si>
    <t>Mackay, 2006 - Volume III - 
Valeur calculée à 10°C à partir de l'équation de Antoine donnée pour une gamme de température allant de 10 à 50°C- Si calcul à 25°C, on aurait 1,87.10-7 mmHg -&gt; Valeur cohérente avec HSDB (1,42.10-7 mmHg à 25°C) et avec ATSDR (1.10-7 mmHg à 25°C)</t>
  </si>
  <si>
    <t>Mackay, 2006 - Volume III
Moyene géométrique de 18 valeurs proposées à 25°C (les valeurs proposées pour les sédiments ont été éliminées)</t>
  </si>
  <si>
    <t>Mackay, 2006 - Volume III
Moyene géométrique de 9 valeurs proposées à 25°C (les valeurs proposées pour les sédiments ont été éliminées)</t>
  </si>
  <si>
    <t>faiblement volatil - Exposition par inhalation non pertinente (RIVM)</t>
  </si>
  <si>
    <t>US-EPA - Oral slope factor de 1,4.10-2 (mg/kg.j)-1</t>
  </si>
  <si>
    <t>OEHHA - unit risk de 2,4e-6 (µg/m3)-1</t>
  </si>
  <si>
    <t>C12H10</t>
  </si>
  <si>
    <t>Mackay, 2006 - Volume I
Valeur à 25°C</t>
  </si>
  <si>
    <t>Mackay, 2006 - Volume I
Valeur à 14,9°C (Burkard et al., 1984)</t>
  </si>
  <si>
    <t>Lijzen, J.P.A, A.J. Baars, P.F. Otte, M.G.J. Rikken, F.A. Swartjes, E.M.J. Verbrµggen, A.P. van Wezel. (2001). Technical evaluation of the Intervention Values for soil/sediment and groundwater. Human and ecotoxicological risk assessment and derivation of risk limits for soil, aquatic sediment, and groundwater. RIVM Report n° 711701 023, Bilthoven, The Netherlands. Par analogie aux HAP.</t>
  </si>
  <si>
    <t>Mackay, 2006 - Volume I
Moyene géométrique de 13 valeurs proposées pour des sols</t>
  </si>
  <si>
    <t>US EPA 2013</t>
  </si>
  <si>
    <t>CHBrCl2</t>
  </si>
  <si>
    <t>Mackay, 2006 - Volume II
Moyenne géométrique 2 valeurs à 20°C</t>
  </si>
  <si>
    <t>Mackay, 2006 - Volume II
Moyenne géométrique 4 valeurs</t>
  </si>
  <si>
    <t>Mackay, 2006 - Volume II
Moyenne géométrique 2 valeurs</t>
  </si>
  <si>
    <t>US EPA 1991</t>
  </si>
  <si>
    <t>US EPA 1993</t>
  </si>
  <si>
    <t>C23H22ClF3O2</t>
  </si>
  <si>
    <t>Lide (2009). Handbook of Chemistry and Physics. 90th Edition. 2009-2010. CRC Press, New York. Valeur à 25°C.</t>
  </si>
  <si>
    <t>fiche INRS</t>
  </si>
  <si>
    <t>TOXNET-HSDB</t>
  </si>
  <si>
    <t>US EPA 1988</t>
  </si>
  <si>
    <t>C7H7Cl</t>
  </si>
  <si>
    <t xml:space="preserve"> Lide (2009). Handbook of Chemistry and Physics. 90th Edition. 2009-2010. CRC Press, New York.</t>
  </si>
  <si>
    <t xml:space="preserve"> Lide (2009). Handbook of Chemistry and Physics. 90th Edition. 2009-2010. CRC Press, New York. - valeur à 25°C (Mackay donne 97,1 mg/L à 15°C)</t>
  </si>
  <si>
    <t>La valeur de Vp  à 10°C estimée à partir de l'équation d'Antoine-Weast - Mackay (2006) - range 5,4 à 159 °C</t>
  </si>
  <si>
    <t>LIDE (2009-2010). Handbook of Chemistry and Physics. 90th Edition. 2009-2010. CRC Press, New York.Valeur identique HSDB, Verschueren, Mackay</t>
  </si>
  <si>
    <t>pas de valeur dans littérature - Valeur Log Koc calculée à partir de Log Kow (Koc = 0.411 x Kow)</t>
  </si>
  <si>
    <t>US-EPA (1990)</t>
  </si>
  <si>
    <t>pas de BCF spécifique à la pdt</t>
  </si>
  <si>
    <t>C6H5Br</t>
  </si>
  <si>
    <t>Lide (2009-2010) à 10°C et Mackay (2006) - Valeur IUPAC recommandée à 10°C</t>
  </si>
  <si>
    <t>La valeur de Vp  à 10°C a été estimée à partir des données de LIDE (2009-2010) grâce à la régression établie à partir de ces valeurs</t>
  </si>
  <si>
    <t xml:space="preserve"> Lide (2009). Handbook of Chemistry and Physics. 90th Edition. 2009-2010. CRC Press, New York.Valeur identique HSDB, Verschueren, Mackay</t>
  </si>
  <si>
    <t>Mackay (2006) : moyenne géométrique de 7 valeurs</t>
  </si>
  <si>
    <t>US-EPA (2009)</t>
  </si>
  <si>
    <t>C5H5N</t>
  </si>
  <si>
    <t xml:space="preserve"> Lide (2000). Handbook of Chemistry and Physics. 81th Edition. 2000-2001. CRC Press, New York.</t>
  </si>
  <si>
    <t>Miscible (Mackay, 2008 ; INERIS, 2008)</t>
  </si>
  <si>
    <t xml:space="preserve"> Lijzen, J.P.A, A.J. Baars, P.F. Otte, M.G.J. Rikken, F.A. Swartjes, E.M.J. Verbruggen, A.P. van Wezel. (2001). Technical evaluation of the Intervention Values for soil/sediment and groundwater. Human and ecotoxicological risk assessment and derivation of risk limits for soil, aquatic sediment, and groundwater. RIVM Report n° 711701 023, Bilthoven, The Netherlands.</t>
  </si>
  <si>
    <t>INERIS, d'après USETOX, 2011</t>
  </si>
  <si>
    <t>US EPA (1989) ; RIVM (2001)</t>
  </si>
  <si>
    <t>RIVM (2001)</t>
  </si>
  <si>
    <t>CH2O</t>
  </si>
  <si>
    <t xml:space="preserve"> Lide (2010). Handbook of Chemistry and Physics. 90th Edition. 2009-2010. CRC Press, New York.</t>
  </si>
  <si>
    <t>valeur HSDB retenue car à 20 °C - autre valeur : Mackay (2008) : 1200000 mg/L à 25°C</t>
  </si>
  <si>
    <t>Valeur de 7,21.10+5 estimée  à 10°C via Lide non correcte (hors gamme) - Valeur retenue : Mackay - équation de Yaws (1994) - Valeur calculée à 10°C - Cohérence équation Yaws à 25°C (VP = 3871 mmHg)  avec ATSDR (Vp = 3883 mmHg à 25°C) et avec HSDB (Vp = 3890 mmHg à 25°C)</t>
  </si>
  <si>
    <t xml:space="preserve"> Lijzen, J.P.A, A.J. Baars, P.F. Otte, M.G.J. Rikken, F.A. Swartjes, E.M.J. Verbruggen, A.P. van Wezel. (2001). Technical evaluation of the Intervention Values for soil/sediment and groundwater. Human and ecotoxicological risk assessment and derivation of risk limits for soil, aquatic sediment, and groundwater. RIVM Report n° 711701 023, Bilthoven, The Netherlands. (extrapolation Dpe pyridine)</t>
  </si>
  <si>
    <t>valeur ATSDR</t>
  </si>
  <si>
    <t>valeur Lide (2009-2010) = valeur HSDB à 25 °C</t>
  </si>
  <si>
    <t>forme acide supposée</t>
  </si>
  <si>
    <t>US EPA (1990) ; ATSDR</t>
  </si>
  <si>
    <t>OEHHA (2009)</t>
  </si>
  <si>
    <t>VTR orale proposée par OEHHA = dérivation de inhalation slope factor - Etude exposition rats et souris par inhalation -&gt; VTR non retenue</t>
  </si>
  <si>
    <t>US EPA (1991) - Inhalation Unit Risk = 1,3 10-5 (µg/m3)-1</t>
  </si>
  <si>
    <r>
      <t>C</t>
    </r>
    <r>
      <rPr>
        <vertAlign val="subscript"/>
        <sz val="10"/>
        <rFont val="Arial"/>
        <family val="2"/>
      </rPr>
      <t>2</t>
    </r>
    <r>
      <rPr>
        <sz val="10"/>
        <rFont val="Arial"/>
        <family val="2"/>
      </rPr>
      <t>H</t>
    </r>
    <r>
      <rPr>
        <vertAlign val="subscript"/>
        <sz val="10"/>
        <rFont val="Arial"/>
        <family val="2"/>
      </rPr>
      <t>2</t>
    </r>
    <r>
      <rPr>
        <sz val="10"/>
        <rFont val="Arial"/>
        <family val="2"/>
      </rPr>
      <t>Cl</t>
    </r>
    <r>
      <rPr>
        <vertAlign val="subscript"/>
        <sz val="10"/>
        <rFont val="Arial"/>
        <family val="2"/>
      </rPr>
      <t>2</t>
    </r>
  </si>
  <si>
    <t>INERIS (2008) ; Santé Canada (2000)</t>
  </si>
  <si>
    <t>US EPA (1991)</t>
  </si>
  <si>
    <t>C3H7NO</t>
  </si>
  <si>
    <t>HSDB, INRS, Verschueren</t>
  </si>
  <si>
    <t>soluble totalement - valeur maximale tenant compte de la densité de 0,948 g/mL</t>
  </si>
  <si>
    <t>valeur retenue = valeur Verschueren à 20°C car cohérente avec HSDB à 25 °C (3,87 mmHg = 516 Pa) et avec INRS  (380 Pa à 20°C) mais pas avec valeur Lide (équation donne 66 Pa à 10°C et 158 Pa à 20°C)- Valeur Lide non retenue car risque de sous-estimation</t>
  </si>
  <si>
    <t>pas de donnée trouvée</t>
  </si>
  <si>
    <t>Lide - HSDB</t>
  </si>
  <si>
    <t>pas de donnée trouvée - Calcul log Koc à partir de log  Kow (Koc = 0,411 x Kow)</t>
  </si>
  <si>
    <t>Valeur HSDB</t>
  </si>
  <si>
    <t>pKa &lt; 1 donc supposé acide</t>
  </si>
  <si>
    <t>US-EPA</t>
  </si>
  <si>
    <t>C3H8O</t>
  </si>
  <si>
    <t>HSDB</t>
  </si>
  <si>
    <t>substance soluble à l'infini (HSDB, INRS)</t>
  </si>
  <si>
    <t>Valeurà 10°C de Mackay retenue selon expérimentation de Parks (1928) car cohérente avec autre valeur de Mackay (Stull:2666 pa à 12,7°C), valeur à 10°C de l'équation d'Antoine (2277 Pa) et valeur à 10°C de l'équation de Yaws (2278 Pa). La valeur de Vp  à 10°C  estimée à partir des données de LIDE (2009-2010) grâce à la régression donne 970 Pa à 10°C : non retenue car risque de sous-estimation.</t>
  </si>
  <si>
    <t xml:space="preserve"> LIDE (2009-2010). Handbook of Chemistry and Physics. 90th Edition. 2009-2010. CRC Press, New York. Idem valeur HSDB, INRS. Mackay donne 0,094 (moy géométrique).</t>
  </si>
  <si>
    <t>valeur Mackay et HSDB</t>
  </si>
  <si>
    <t>supposé acide</t>
  </si>
  <si>
    <t>NH3</t>
  </si>
  <si>
    <t>Valeur HSDB à 24°C</t>
  </si>
  <si>
    <t>valeur ATSDR retenue de 8,5 atm à 20°C (cohérence avec HSDB = 7,51.103 mmHg = 1001251 Pa à 25°C, INRS = 860000 Pa à 20°C)</t>
  </si>
  <si>
    <t>Lide - HSDB- ATSDR</t>
  </si>
  <si>
    <t>base</t>
  </si>
  <si>
    <t>HF</t>
  </si>
  <si>
    <t>HSDB-ATSDR-INRS</t>
  </si>
  <si>
    <t>solubilité maximale car soluble dans l'eau en toute proportion (ATSDR-INRS-HSDB)</t>
  </si>
  <si>
    <t xml:space="preserve">La valeur de Vp  à 10°C est estimée à partir des données de LIDE (2009-2010) grâce à la régression établie à partir de ces valeurs </t>
  </si>
  <si>
    <t>INRS</t>
  </si>
  <si>
    <t>valeur retenue de Lide (même valeur dans HSDB)</t>
  </si>
  <si>
    <t>acide faible</t>
  </si>
  <si>
    <t>OMS</t>
  </si>
  <si>
    <t>C2H2Cl4</t>
  </si>
  <si>
    <t>Mackay (2006) - Physical chemical properties and environmental fate for organic chemicals - CRC Press - Volume II page 1009 - Valeur à 10°C recommandée IUPAC</t>
  </si>
  <si>
    <t>La valeur de Vp  à 10°C estimée à partir de l'équation d'Antoine - Mackay (2006) - range -3,8 à 146 °C</t>
  </si>
  <si>
    <t xml:space="preserve"> Lide (2009). Handbook of Chemistry and Physics. 90th Edition. 2009-2010. CRC Press, New York. Valeur identique HSDB, Verschueren, ATSDR, Mackay</t>
  </si>
  <si>
    <t>Mackay (2006), moyenne géométrique de 6 valeurs</t>
  </si>
  <si>
    <t>US-EPA (2010)</t>
  </si>
  <si>
    <t>US-EPA (2010) et OEHHA donnent un Oral Slope Factor de 0,2 (mg/kg.j)-1</t>
  </si>
  <si>
    <t>Valeur OEHHA  de Unit Risk de 5,8.10-5 (µg/m3)-1</t>
  </si>
  <si>
    <t>CH4O</t>
  </si>
  <si>
    <t>totalement miscible (HSDB, Mackay et Verschueren)</t>
  </si>
  <si>
    <t xml:space="preserve">La valeur de Vp  à 10°C estimée à partir des données de LIDE (2009-2010) grâce à la régression établie à partir de ces valeurs </t>
  </si>
  <si>
    <t>US EPA (2013)</t>
  </si>
  <si>
    <t>OEHHA (2000)</t>
  </si>
  <si>
    <t>C4H10O</t>
  </si>
  <si>
    <t>valeur à 10°C IUPAC recommandée dans Mackay (2006)</t>
  </si>
  <si>
    <t>La valeur de Vp  à 10°C estimée à partir de l'équation d'Antoine-Weast - Mackay (2006) - range -1,2 à 277 °C</t>
  </si>
  <si>
    <t>Mackay (2006)</t>
  </si>
  <si>
    <t>US EPA (1990)</t>
  </si>
  <si>
    <t>C4H8O</t>
  </si>
  <si>
    <t xml:space="preserve">Mackay (2006) -Valeur à 9,6 °c </t>
  </si>
  <si>
    <t xml:space="preserve">La valeur de Vp  à 10°C a été estimée à partir des données de LIDE (2009-2010) grâce à la régression établie à partir de ces valeurs </t>
  </si>
  <si>
    <t xml:space="preserve"> Lide (2009). Handbook of Chemistry and Physics. 90th Edition. 2009-2010. CRC Press, New York. Valeur identique HSDB, ATSDR, Mackay</t>
  </si>
  <si>
    <t>Mackay (2006) - 4 valeurs disponibles</t>
  </si>
  <si>
    <t>Mackay (2006) et HSDB</t>
  </si>
  <si>
    <t>US-EPA (2003)</t>
  </si>
  <si>
    <t>C3H6O</t>
  </si>
  <si>
    <t>miscible (HSDB et Mackay)</t>
  </si>
  <si>
    <t>une seule valeur de 20 dans HSDB -&gt; non retenue</t>
  </si>
  <si>
    <t>US EPA (2003)</t>
  </si>
  <si>
    <t>ATSDR = MRL chronique de 13 ppm</t>
  </si>
  <si>
    <t>C3H6N6O6</t>
  </si>
  <si>
    <t>HSDB, ATSDR</t>
  </si>
  <si>
    <t>HSDB - valeur à 25°C</t>
  </si>
  <si>
    <t>HSDB - valeur de 4,1 10-9 mmHg à 20°C</t>
  </si>
  <si>
    <t>US EPA (1993)</t>
  </si>
  <si>
    <t>US-EPA (1993) - Oral slope factor de 1,1 10-1 (mg/kg.j)-1</t>
  </si>
  <si>
    <t>C7H5N3O6</t>
  </si>
  <si>
    <t>Mackay et al., 2006. Handbook of Physical-Chemical Properties and Environmental Fate for Organic Chemicals. Volume II. Halogenated Hydrocarbons. Second Edition. CRC - valeur à 10°C</t>
  </si>
  <si>
    <t>Mackay et al., 2006. Handbook of Physical-Chemical Properties and Environmental Fate for Organic Chemicals. Volume II. Halogenated Hydrocarbons. Second Edition. CRC - Vp à 14 °C</t>
  </si>
  <si>
    <t>Mackay et al., 2006. Handbook of Physical-Chemical Properties and Environmental Fate for Organic Chemicals. Volume II. Halogenated Hydrocarbons. Second Edition. CRC - Moyenne géométrique de 4 valeurs</t>
  </si>
  <si>
    <t>US EPA (1993) et ATSDR</t>
  </si>
  <si>
    <t>US EPA (1993)  - Oral slope factor de 3.10-2 (mg/kg.j)-1</t>
  </si>
  <si>
    <t>C4H8N8O8</t>
  </si>
  <si>
    <t>ATSDR- Valeur à 20°C</t>
  </si>
  <si>
    <t>HSDB - Vp = 2,41.10-8 mmHg à 25°C</t>
  </si>
  <si>
    <t>US EPA (1993)et ATSDR</t>
  </si>
  <si>
    <t>C12H11N</t>
  </si>
  <si>
    <t xml:space="preserve"> Lide (2009). Handbook of Chemistry and Physics. 90th Edition. 2009-2010. CRC Press, New York.- valeur à 20°C</t>
  </si>
  <si>
    <t>HSDB : Vp = 6,70.10-4 mmHg à 25°C</t>
  </si>
  <si>
    <t>Mackay et al., 2006. Handbook of Physical-Chemical Properties and Environmental Fate for Organic Chemicals. Volume II. Halogenated Hydrocarbons. Second Edition. CRC - Moyenne géométrique de 7 valeurs</t>
  </si>
  <si>
    <t>Lide (2009) - valeur HSDB = 0,78</t>
  </si>
  <si>
    <t>C6H3N3O6</t>
  </si>
  <si>
    <t xml:space="preserve"> Lide (2009). Handbook of Chemistry and Physics. 90th Edition. 2009-2010. CRC Press, New York.- valeur à 15°C</t>
  </si>
  <si>
    <t>ATSDR : Vp =3,20.10-6 mmHg à 25°C</t>
  </si>
  <si>
    <t>HSDB - ATSDR - Verschueren</t>
  </si>
  <si>
    <t>US EPA (1997)</t>
  </si>
  <si>
    <t>C2H3N</t>
  </si>
  <si>
    <t>HSDB et Mackay : solubilité infinie dans l'eau</t>
  </si>
  <si>
    <t>Mackay et al., 2006. Handbook of Physical-Chemical Properties and Environmental Fate for Organic Chemicals. Volume II. Halogenated Hydrocarbons. Second Edition. CRC - Equation de Yaws - range 229 K - 546 K</t>
  </si>
  <si>
    <t xml:space="preserve"> Lide (2009). Handbook of Chemistry and Physics. 90th Edition. 2009-2010. CRC Press, New York. Même valeur pour Mackay, Verschueren, HSDB</t>
  </si>
  <si>
    <t>valeur de 29,1 dans Mackay (2006) et de -4,30 dans HSDB-&gt; non retenue</t>
  </si>
  <si>
    <t>US EPA (1999)</t>
  </si>
  <si>
    <r>
      <t>C</t>
    </r>
    <r>
      <rPr>
        <vertAlign val="subscript"/>
        <sz val="10"/>
        <rFont val="Arial"/>
        <family val="2"/>
      </rPr>
      <t>19</t>
    </r>
    <r>
      <rPr>
        <sz val="10"/>
        <rFont val="Arial"/>
        <family val="2"/>
      </rPr>
      <t>H</t>
    </r>
    <r>
      <rPr>
        <vertAlign val="subscript"/>
        <sz val="10"/>
        <rFont val="Arial"/>
        <family val="2"/>
      </rPr>
      <t>20</t>
    </r>
    <r>
      <rPr>
        <sz val="10"/>
        <rFont val="Arial"/>
        <family val="2"/>
      </rPr>
      <t>O</t>
    </r>
    <r>
      <rPr>
        <vertAlign val="subscript"/>
        <sz val="10"/>
        <rFont val="Arial"/>
        <family val="2"/>
      </rPr>
      <t>4</t>
    </r>
  </si>
  <si>
    <t>Lide (2009-2010).CRC Handbook of Chemistry and Physics. David R. Lide Editor-in-Chief 90th Edition</t>
  </si>
  <si>
    <t>MACKAY Second Edition (2006). Handbook Of Physical-Chemical Properties and Environmental Fate for Organic Chemicals- Valeur à 20°C</t>
  </si>
  <si>
    <t xml:space="preserve">MACKAY Second Edition (2006). Handbook Of Physical-Chemical Properties and Environmental Fate for Organic Chemicals- Valeur à 20°C (pas d'équation pour 10°C) </t>
  </si>
  <si>
    <t xml:space="preserve">MACKAY Second Edition (2006). Handbook Of Physical-Chemical Properties and Environmental Fate for Organic Chemicals- Moyenne géométrique sur 14 valeurs </t>
  </si>
  <si>
    <t>US-EPA-IRIS (1989)</t>
  </si>
  <si>
    <r>
      <t>C</t>
    </r>
    <r>
      <rPr>
        <vertAlign val="subscript"/>
        <sz val="10"/>
        <rFont val="Arial"/>
        <family val="2"/>
      </rPr>
      <t>12</t>
    </r>
    <r>
      <rPr>
        <sz val="10"/>
        <rFont val="Arial"/>
        <family val="2"/>
      </rPr>
      <t>H</t>
    </r>
    <r>
      <rPr>
        <vertAlign val="subscript"/>
        <sz val="10"/>
        <rFont val="Arial"/>
        <family val="2"/>
      </rPr>
      <t>14</t>
    </r>
    <r>
      <rPr>
        <sz val="10"/>
        <rFont val="Arial"/>
        <family val="2"/>
      </rPr>
      <t>O</t>
    </r>
    <r>
      <rPr>
        <vertAlign val="subscript"/>
        <sz val="10"/>
        <rFont val="Arial"/>
        <family val="2"/>
      </rPr>
      <t>4</t>
    </r>
  </si>
  <si>
    <t>MACKAY Second Edition (2006). Handbook Of Physical-Chemical Properties and Environmental Fate for Organic Chemicals- Valeur à 10°C (Lide indique 1200 mg/L à 25°C)</t>
  </si>
  <si>
    <t>MACKAY Second Edition (2006). Handbook Of Physical-Chemical Properties and Environmental Fate for Organic Chemicals- Valeur à 10°C selon l'équation de Yaws (1994)</t>
  </si>
  <si>
    <t>MACKAY Second Edition (2006). Handbook Of Physical-Chemical Properties and Environmental Fate for Organic Chemicals- Moyenne géométrique sur 13 valeurs</t>
  </si>
  <si>
    <t>MACKAY Second Edition (2006). Handbook Of Physical-Chemical Properties and Environmental Fate for Organic Chemicals- Moyenne géométrique sur 9 valeurs</t>
  </si>
  <si>
    <t>US-EPA-IRIS (1987)</t>
  </si>
  <si>
    <r>
      <t>C</t>
    </r>
    <r>
      <rPr>
        <vertAlign val="subscript"/>
        <sz val="10"/>
        <rFont val="Arial"/>
        <family val="2"/>
      </rPr>
      <t>16</t>
    </r>
    <r>
      <rPr>
        <sz val="10"/>
        <rFont val="Arial"/>
        <family val="2"/>
      </rPr>
      <t>H</t>
    </r>
    <r>
      <rPr>
        <vertAlign val="subscript"/>
        <sz val="10"/>
        <rFont val="Arial"/>
        <family val="2"/>
      </rPr>
      <t>22</t>
    </r>
    <r>
      <rPr>
        <sz val="10"/>
        <rFont val="Arial"/>
        <family val="2"/>
      </rPr>
      <t>O</t>
    </r>
    <r>
      <rPr>
        <vertAlign val="subscript"/>
        <sz val="10"/>
        <rFont val="Arial"/>
        <family val="2"/>
      </rPr>
      <t>4</t>
    </r>
  </si>
  <si>
    <t>MACKAY Second Edition (2006). Handbook Of Physical-Chemical Properties and Environmental Fate for Organic Chemicals- Valeur à 10°C (Lide indique 11,2 mg/L à 25°C)</t>
  </si>
  <si>
    <t>MACKAY Second Edition (2006). Handbook Of Physical-Chemical Properties and Environmental Fate for Organic Chemicals- Valeur à 10°C selon l'équation de Rays (1979)</t>
  </si>
  <si>
    <t>MACKAY Second Edition (2006). Handbook Of Physical-Chemical Properties and Environmental Fate for Organic Chemicals- Moyenne géométrique sur 18 valeurs</t>
  </si>
  <si>
    <t>MACKAY Second Edition (2006). Handbook Of Physical-Chemical Properties and Environmental Fate for Organic Chemicals- Moyenne géométrique sur 14 valeurs</t>
  </si>
  <si>
    <t>CS2</t>
  </si>
  <si>
    <t>Lide (2009-2010) - CRC Handbook of Chemistry and Physics David R. Lide editor-in-Cheif, 90th Edition 2009-2010 - Valeur à 20°C (idem Mackay)</t>
  </si>
  <si>
    <t xml:space="preserve">valeur Mackay (2006) et HSDB </t>
  </si>
  <si>
    <t>MACKAY second edition, volume 2 p 1290. Handbook of Physical-Chemical Properties and Environmental Fate for Organic Chemicals. Une seule valeur</t>
  </si>
  <si>
    <t>US-EPA (IRIS) (1987)</t>
  </si>
  <si>
    <t>US-EPA (IRIS) (1995)</t>
  </si>
  <si>
    <r>
      <t>C</t>
    </r>
    <r>
      <rPr>
        <vertAlign val="subscript"/>
        <sz val="10"/>
        <rFont val="Arial"/>
        <family val="2"/>
      </rPr>
      <t>3</t>
    </r>
    <r>
      <rPr>
        <sz val="10"/>
        <rFont val="Arial"/>
        <family val="2"/>
      </rPr>
      <t>H</t>
    </r>
    <r>
      <rPr>
        <vertAlign val="subscript"/>
        <sz val="10"/>
        <rFont val="Arial"/>
        <family val="2"/>
      </rPr>
      <t>5</t>
    </r>
    <r>
      <rPr>
        <sz val="10"/>
        <rFont val="Arial"/>
        <family val="2"/>
      </rPr>
      <t>Cl</t>
    </r>
    <r>
      <rPr>
        <vertAlign val="subscript"/>
        <sz val="10"/>
        <rFont val="Arial"/>
        <family val="2"/>
      </rPr>
      <t>3</t>
    </r>
  </si>
  <si>
    <t>Lide (2009-2010) - CRC Handbook of Chemistry and Physics David R. Lide editor-in-Cheif, 90th Edition 2009-2010 - Valeur à 10°C  (Mackay donne 1900 mg/L à 20°C)</t>
  </si>
  <si>
    <t>MACKAY Second Edition. Hanbook Of Physical-Chemical Properties and Environmental Fate for Organic Chemicals- calcul à 10 °C basé sur équation de Yaws (1994)</t>
  </si>
  <si>
    <t>MACKAY Second Edition (2006). Handbook Of Physical-Chemical Properties and Environmental Fate for Organic Chemicals- Moyenne géométrique sur 4 valeurs</t>
  </si>
  <si>
    <t>MACKAY Second Edition (2006). Handbook Of Physical-Chemical Properties and Environmental Fate for Organic Chemicals- Moyenne géométrique sur 3 valeurs</t>
  </si>
  <si>
    <t>US-EPA (IRIS) (2009)</t>
  </si>
  <si>
    <t>US-EPA (2009) avec un Oral Slope Factor de 30 (mg/kg.j)-1</t>
  </si>
  <si>
    <r>
      <t>C</t>
    </r>
    <r>
      <rPr>
        <vertAlign val="subscript"/>
        <sz val="10"/>
        <rFont val="Arial"/>
        <family val="2"/>
      </rPr>
      <t>3</t>
    </r>
    <r>
      <rPr>
        <sz val="10"/>
        <rFont val="Arial"/>
        <family val="2"/>
      </rPr>
      <t>H</t>
    </r>
    <r>
      <rPr>
        <vertAlign val="subscript"/>
        <sz val="10"/>
        <rFont val="Arial"/>
        <family val="2"/>
      </rPr>
      <t>5</t>
    </r>
    <r>
      <rPr>
        <sz val="10"/>
        <rFont val="Arial"/>
        <family val="2"/>
      </rPr>
      <t>Br</t>
    </r>
    <r>
      <rPr>
        <vertAlign val="subscript"/>
        <sz val="10"/>
        <rFont val="Arial"/>
        <family val="2"/>
      </rPr>
      <t>2</t>
    </r>
    <r>
      <rPr>
        <sz val="10"/>
        <rFont val="Arial"/>
        <family val="2"/>
      </rPr>
      <t>Cl</t>
    </r>
  </si>
  <si>
    <t>Lide (2009-2010). CRC Handbook of Chemistry and Physics. David R.Lide Editor-in-Chief 90th Edition - Valeur à 20°C (valeur idem HSDB et ATSDR)</t>
  </si>
  <si>
    <t>Valeur HSDB et ATSDR à 20°C (pas de données Lide ni Mackay)</t>
  </si>
  <si>
    <t>HSDB (ATSDR propose 2,26)</t>
  </si>
  <si>
    <t xml:space="preserve">valeur calculée à partir de Kow (Koc = 0,411 x Kow) </t>
  </si>
  <si>
    <t>US EPA (IRIS) (1991)</t>
  </si>
  <si>
    <t>OEHHA - Oral Slope Factor de 7 (mg/kg.j)-1</t>
  </si>
  <si>
    <t>OEHHA - Unit Risk de 2.10-3 (µg/m3)-1</t>
  </si>
  <si>
    <r>
      <t>C</t>
    </r>
    <r>
      <rPr>
        <vertAlign val="subscript"/>
        <sz val="10"/>
        <rFont val="Arial"/>
        <family val="2"/>
      </rPr>
      <t>10</t>
    </r>
    <r>
      <rPr>
        <sz val="10"/>
        <rFont val="Arial"/>
        <family val="2"/>
      </rPr>
      <t>H</t>
    </r>
    <r>
      <rPr>
        <vertAlign val="subscript"/>
        <sz val="10"/>
        <rFont val="Arial"/>
        <family val="2"/>
      </rPr>
      <t>6</t>
    </r>
    <r>
      <rPr>
        <sz val="10"/>
        <rFont val="Arial"/>
        <family val="2"/>
      </rPr>
      <t>Cl</t>
    </r>
    <r>
      <rPr>
        <vertAlign val="subscript"/>
        <sz val="10"/>
        <rFont val="Arial"/>
        <family val="2"/>
      </rPr>
      <t>8</t>
    </r>
  </si>
  <si>
    <t>Lide (2009-2010). CRC Handbook of Chemistry and Physics. David R. Lide Editor-in-Chief 90th Edition 2009-2010.</t>
  </si>
  <si>
    <t>MACKAY Second Edition. Hanbook Of Physical-Chemical Properties and Environmental Fate for Organic Chemicals- pas de valeur/équation à 10 °C- valeur à 20°C  (Suntio et al., 1988)</t>
  </si>
  <si>
    <t>MACKAY Second Edition. Hanbook Of Physical-Chemical Properties and Environmental Fate for Organic Chemicals- calcul sur base de l'équation de Passivirta et al. (1999) moyenne géométrique du cis- et trans-chlordane, à 10 °C Passivirta et al., 1999</t>
  </si>
  <si>
    <t>Mackay Second edition, volume 4. Handbook of Physical-Chemical Properties and Environmental Fate for Organic Chemicals.Moyenne géométrique (32 valeurs intégrant celles pour chaque isomère ci- et trans-chlordane); autres valeurs : log Kow = 6,16 (HSDB)/ log Kow = 6 (Verschueren)/ log Kow = 5,54 (ATSDR)</t>
  </si>
  <si>
    <t>MACKAY Second Edition, volume 4. Hanbook Of Physical-Chemical Properties and Environmental Fate for Organic Chemicals. Moyenne géométrique ( 17 valeurs). Les valeurs proposées pour les sédiments et les zéolites, ainsi que pour les range n'ont pas été prises en compte dans le calcul de la moyenne géométrique; autres valeurs : log Koc = 3,49-4,64 (ATSDR)</t>
  </si>
  <si>
    <t>US-EPA 1998 / OMS-WHO 2003 / EFSA, 2007</t>
  </si>
  <si>
    <t>ATSDR 1994</t>
  </si>
  <si>
    <t>OEHHA 2009 - Oral Slope Factor de 1,3 (mg/kg.jr)-1</t>
  </si>
  <si>
    <t>OEHHA 2009 - Inhalation Unit Risk de 0,34 (mg/m3)-1  (extrapolation voie à voie)</t>
  </si>
  <si>
    <r>
      <t>C</t>
    </r>
    <r>
      <rPr>
        <vertAlign val="subscript"/>
        <sz val="10"/>
        <rFont val="Arial"/>
        <family val="2"/>
      </rPr>
      <t>10</t>
    </r>
    <r>
      <rPr>
        <sz val="10"/>
        <rFont val="Arial"/>
        <family val="2"/>
      </rPr>
      <t>H</t>
    </r>
    <r>
      <rPr>
        <vertAlign val="subscript"/>
        <sz val="10"/>
        <rFont val="Arial"/>
        <family val="2"/>
      </rPr>
      <t>5</t>
    </r>
    <r>
      <rPr>
        <sz val="10"/>
        <rFont val="Arial"/>
        <family val="2"/>
      </rPr>
      <t>Cl</t>
    </r>
    <r>
      <rPr>
        <vertAlign val="subscript"/>
        <sz val="10"/>
        <rFont val="Arial"/>
        <family val="2"/>
      </rPr>
      <t>7</t>
    </r>
    <r>
      <rPr>
        <sz val="10"/>
        <rFont val="Arial"/>
        <family val="2"/>
      </rPr>
      <t>O</t>
    </r>
  </si>
  <si>
    <t xml:space="preserve">MACKAY Second Edition. Hanbook Of Physical-Chemical Properties and Environmental Fate for Organic Chemicals- pas de valeur/équation à 10 °C- valeur à 15°C  (Biggar &amp; Riggs 1974, pour des tailles de particule de 5µ) </t>
  </si>
  <si>
    <t>MACKAY Second Edition. Hanbook Of Physical-Chemical Properties and Environmental Fate for Organic Chemicals- pas de valeur à 10°C, valeur à 20°C Montgomery (1993)</t>
  </si>
  <si>
    <t>Mackay Second edition, volume 4. Handbook of Physical-Chemical Properties and Environmental Fate for Organic Chemicals.Moyenne géométrique (6 valeurs)</t>
  </si>
  <si>
    <t>MACKAY Second Edition, volume 4. Hanbook Of Physical-Chemical Properties and Environmental Fate for Organic Chemicals. Moyenne géométrique (3 valeurs). Les valeurs proposées pour les sédiments et les zéolites, ainsi que pour les range n'ont pas été prises en compte dans le calcul de la moyenne géométrique.</t>
  </si>
  <si>
    <t>US-EPA 1991</t>
  </si>
  <si>
    <t>US-EPA 1993 - OSF de 9,1 (mg/kg.jr)-1</t>
  </si>
  <si>
    <t>EPA-IRIS 1993 - Inhalation Unit Risk de 2,6 (mg/m3)-1</t>
  </si>
  <si>
    <r>
      <t>C</t>
    </r>
    <r>
      <rPr>
        <vertAlign val="subscript"/>
        <sz val="10"/>
        <rFont val="Arial"/>
        <family val="2"/>
      </rPr>
      <t>6</t>
    </r>
    <r>
      <rPr>
        <sz val="10"/>
        <rFont val="Arial"/>
        <family val="2"/>
      </rPr>
      <t>H</t>
    </r>
    <r>
      <rPr>
        <vertAlign val="subscript"/>
        <sz val="10"/>
        <rFont val="Arial"/>
        <family val="2"/>
      </rPr>
      <t>6</t>
    </r>
    <r>
      <rPr>
        <sz val="10"/>
        <rFont val="Arial"/>
        <family val="2"/>
      </rPr>
      <t>Cl</t>
    </r>
    <r>
      <rPr>
        <vertAlign val="subscript"/>
        <sz val="10"/>
        <rFont val="Arial"/>
        <family val="2"/>
      </rPr>
      <t>6</t>
    </r>
  </si>
  <si>
    <t>Mackay et al., 2006. Handbook of Physical-Chemical Properties and Environmental Fate for Organic Chemicals. Volume IV. Nitrogen and Sulfur Containing compounds. Second Edition. CRC. Calculé à 15°C, valeurs moyennes de 6-7 en labo, OECD, 1981</t>
  </si>
  <si>
    <t>Mackay et al., 2006. Handbook of Physical-Chemical Properties and Environmental Fate for Organic Chemicals. Volume IV. Nitrogen and Sulfur Containing compounds. Second Edition. CRC. Calculé à 10°C, Hinckley et al., 1990; Cotham &amp; Bildeman, 1992</t>
  </si>
  <si>
    <t>Mackay et al., 2006. Handbook of Physical-Chemical Properties and Environmental Fate for Organic Chemicals. Volume IV. Nitrogen and Sulfur Containing compounds. Second Edition. CRC. Moyenne géométrique des valeurs (25 valeurs) à 25°C.</t>
  </si>
  <si>
    <t>Mackay et al., 2006. Handbook of Physical-Chemical Properties and Environmental Fate for Organic Chemicals. Volume IV. Nitrogen and Sulfur Containing compounds. Second Edition. CRC. Moyenne géométrique des valeurs à 25°C (36 valeurs). Les valeurs proposées pour les sédiments et les zéolites, ainsi que pour les ranges n'ont pas été prises en compte dans le calcul de la moyenne géométrique.</t>
  </si>
  <si>
    <t>RIVM, 2001</t>
  </si>
  <si>
    <t>RIVM, 2001, dériviation voie à voie, organe : foie, poumons</t>
  </si>
  <si>
    <t>OEHHA, 1991/2009 - Oral Slope Factor de  1,1 (mg/kg.jr)-1</t>
  </si>
  <si>
    <t>OEHHA, 1991 - Inhalation Unit Risk de 0,31 (mg/m3)-1</t>
  </si>
  <si>
    <r>
      <t>C</t>
    </r>
    <r>
      <rPr>
        <vertAlign val="subscript"/>
        <sz val="10"/>
        <rFont val="Arial"/>
        <family val="2"/>
      </rPr>
      <t>12</t>
    </r>
    <r>
      <rPr>
        <sz val="10"/>
        <rFont val="Arial"/>
        <family val="2"/>
      </rPr>
      <t>H</t>
    </r>
    <r>
      <rPr>
        <vertAlign val="subscript"/>
        <sz val="10"/>
        <rFont val="Arial"/>
        <family val="2"/>
      </rPr>
      <t>8</t>
    </r>
    <r>
      <rPr>
        <sz val="10"/>
        <rFont val="Arial"/>
        <family val="2"/>
      </rPr>
      <t>Cl</t>
    </r>
    <r>
      <rPr>
        <vertAlign val="subscript"/>
        <sz val="10"/>
        <rFont val="Arial"/>
        <family val="2"/>
      </rPr>
      <t>6</t>
    </r>
    <r>
      <rPr>
        <sz val="10"/>
        <rFont val="Arial"/>
        <family val="2"/>
      </rPr>
      <t>O</t>
    </r>
  </si>
  <si>
    <t xml:space="preserve">MACKAY Second Edition. Hanbook Of Physical-Chemical Properties and Environmental Fate for Organic Chemicals, Volum IV - pas de valeur à 10°C - valeur à 15°C  (Biggar &amp; Riggs 1974, pour des tailles de particule de 5µ) </t>
  </si>
  <si>
    <t>MACKAY Second Edition. Hanbook Of Physical-Chemical Properties and Environmental Fate for Organic Chemicals, Volume IV - calcul sur base de l'équation de Rordorf (1989) à 10°C</t>
  </si>
  <si>
    <t>Mackay Second edition, volume IV. Handbook of Physical-Chemical Properties and Environmental Fate for Organic Chemicals.Moyenne géométrique (22 valeurs)</t>
  </si>
  <si>
    <t>MACKAY Second Edition, volume IV. Hanbook Of Physical-Chemical Properties and Environmental Fate for Organic Chemicals. Moyenne géométrique (22 valeurs). Les valeurs proposées pour les sédiments et les zéolites, ainsi que pour les range n'ont pas été prises en compte dans le calcul de la moyenne géométrique.</t>
  </si>
  <si>
    <t>ATSDR, 2002</t>
  </si>
  <si>
    <t>US-EPA, 1993 - OSF de 16 (mg/kg.jr)-1</t>
  </si>
  <si>
    <r>
      <t>C</t>
    </r>
    <r>
      <rPr>
        <vertAlign val="subscript"/>
        <sz val="10"/>
        <rFont val="Arial"/>
        <family val="2"/>
      </rPr>
      <t>3</t>
    </r>
    <r>
      <rPr>
        <sz val="10"/>
        <rFont val="Arial"/>
        <family val="2"/>
      </rPr>
      <t>H</t>
    </r>
    <r>
      <rPr>
        <vertAlign val="subscript"/>
        <sz val="10"/>
        <rFont val="Arial"/>
        <family val="2"/>
      </rPr>
      <t>6</t>
    </r>
    <r>
      <rPr>
        <sz val="10"/>
        <rFont val="Arial"/>
        <family val="2"/>
      </rPr>
      <t>Cl</t>
    </r>
    <r>
      <rPr>
        <vertAlign val="subscript"/>
        <sz val="10"/>
        <rFont val="Arial"/>
        <family val="2"/>
      </rPr>
      <t>2</t>
    </r>
  </si>
  <si>
    <t>MACKAY second edition. Handbook of Physical-Chemical Properties and Environmental Fate for Organic Chemicals.Valeur à 10°C (recommended IUPAC-NIST)</t>
  </si>
  <si>
    <t>MACKAY Second Edition. Hanbook Of Physical-Chemical Properties and Environmental Fate for Organic Chemicals-calcul sur base de l'équation de Yaws à 10 °C [173-572 K] - 1994- Valeur de Lide non retenue à 10°C car plus faible (1095 Pa)</t>
  </si>
  <si>
    <t>MACKAY Second Edition, volume II. Hanbook Of Physical-Chemical Properties and Environmental Fate for Organic Chemicals. Moyenne géométrique (3 valeurs). Les valeurs proposées pour les sédiments et les zéolites, ainsi que pour les range n'ont pas été prises en compte dans le calcul de la moyenne géométrique.</t>
  </si>
  <si>
    <t>OMS,2011</t>
  </si>
  <si>
    <t>US-EPA (1991)</t>
  </si>
  <si>
    <t>OEHHA Cancer potency de 3,6.10-2 (mg/kg.j)-1</t>
  </si>
  <si>
    <t>OEHHA, 2009</t>
  </si>
  <si>
    <r>
      <t>C</t>
    </r>
    <r>
      <rPr>
        <vertAlign val="subscript"/>
        <sz val="10"/>
        <rFont val="Arial"/>
        <family val="2"/>
      </rPr>
      <t>4</t>
    </r>
    <r>
      <rPr>
        <sz val="10"/>
        <rFont val="Arial"/>
        <family val="2"/>
      </rPr>
      <t>Cl</t>
    </r>
    <r>
      <rPr>
        <vertAlign val="subscript"/>
        <sz val="10"/>
        <rFont val="Arial"/>
        <family val="2"/>
      </rPr>
      <t>6</t>
    </r>
  </si>
  <si>
    <t>MACKAY second edition. Handbook of Physical-Chemical Properties and Environmental Fate for Organic Chemicals.pas de valeur à 10°C- Valeur à 20°C -  valeur Mackay retenue car cohérente avec ATSDR, HSDB et valeur de Lide isolée avec 4,1 g/kg H2O (et indique "insoluble" dans le chapitre 1)</t>
  </si>
  <si>
    <t>MACKAY second edition. Handbook of Physical-Chemical Properties and Environmental Fate for Organic Chemicals.pas de valeur à 10°C- Valeur à 20°C cohérente avec ATSDR, HSDB. Equation hors gamme de température dans Lide</t>
  </si>
  <si>
    <t>MACKAY second edition, volume 3 p 2796. Handbook Physical-Chemical Properties and Environmental Fate for Organic Chemicals. Moyenne Géométrique de 6 valeurs</t>
  </si>
  <si>
    <t xml:space="preserve">valeur calculée à partir de Kow </t>
  </si>
  <si>
    <t>TDI de l'OMS (2011)</t>
  </si>
  <si>
    <t>US-EPA (1987) - Oral slope Factor de 7,8.10-2 (mg/kg.j)-1</t>
  </si>
  <si>
    <t>US-EPA (1987) - Inhalation Unit Risk de 2,2.10-5 (µg/m3)-1</t>
  </si>
  <si>
    <t>Lide (2009-2010). Handbook of Chemistry and Physics. David R. Lide Editor-in-Chief 90th Edition 2009-2010 - pas de valeur à 10°C - valeur à 20 °C</t>
  </si>
  <si>
    <t>MACKAY second edition (2006) . Handbook of Physical-Chemical Properties and Envionmental Fate for Organic Chemicals. Equation d'Antoine- valeur à 10 °C</t>
  </si>
  <si>
    <t>LIDE (2009-2010). Handbook of Chemistry and Physics. 90th Edition. 2009-2010. CRC Press, New York. Idem HSDB, Mac Kay</t>
  </si>
  <si>
    <t>Mac Kay (2006) propose 2 valeurs très différentes : 0,623 et 1,477 -&gt; pas de valeur retenue- valeur calculée avec formule Koc = 0,411 x Kow</t>
  </si>
  <si>
    <t>OEHHA (2000) et EPA (IRIS)-1990</t>
  </si>
  <si>
    <t>OEHHA-1995 et EPA (IRIS)-1990- Oral slope factor de 2,4.10-1 (mg/kg.j)-1</t>
  </si>
  <si>
    <t>OEHHA-1995 et EPA (IRIS)-1990- Inhalation Unit Risk de 3,7.10-6 (µg/m3)-1</t>
  </si>
  <si>
    <t>HSDB (valeur à 25°C) - Lide (2009-2010), MacKay (2006), Verchueren (1996), HSDB : miscible dans l'eau</t>
  </si>
  <si>
    <t>MACKAY (2006) Second Edition. Hanbook Of Physical-Chemical Properties and Environmental Fate for Organic Chemicals-calcul sur base de l'équation de Antoine à 10 °C [-20,4 à 222 °C]</t>
  </si>
  <si>
    <t>MACKAY (2006) second edition. Handbook of Physical-Chemical Properties and Environmental Fate for Organic Chemicals. Une seule valeur, calculée à partir de Kow par Lyman</t>
  </si>
  <si>
    <t>Une seule valeur de pKa de 19,2 dans HSDB - Non sélectionnée (impact sur VSH usage résidentiel avec jardin potager)</t>
  </si>
  <si>
    <t>Valeur OEHHA calculée sur base d'une étude NTP (1994) sur des rats exposés par ingestion d'eau. Courrier de l'OEHHA du 2 juin 1999 : Oral Slope Factor de 3,3.10-3 (mg/kg.j)-1.A utiliser pour la voie orale uniquement.</t>
  </si>
  <si>
    <t>C12H4Cl4O2</t>
  </si>
  <si>
    <t>MACKAY (2006) Second Edition. Hanbook Of Physical-Chemical Properties and Environmental Fate for Organic Chemicals- Valeur à 17,3 °C</t>
  </si>
  <si>
    <t>MACKAY (2006) Second Edition. Hanbook Of Physical-Chemical Properties and Environmental Fate for Organic Chemicals-calcul sur base de l'équation de Antoine à 10 °C [10-305 °C]</t>
  </si>
  <si>
    <t>MACKAY (2006) second edition. Handbook of Physical-Chemical Properties and Environmental Fate for Organic Chemicals. Moyenne géométrique sur 10 valeurs</t>
  </si>
  <si>
    <t>MACKAY (2006) second edition. Handbook of Physical-Chemical Properties and Environmental Fate for Organic Chemicals. Moyenne géométrique sur 11 valeurs</t>
  </si>
  <si>
    <t>US-EPA (2012)</t>
  </si>
  <si>
    <t>Valeur OEHHA (2011) calculée sur base d'une étude NTP (1980-1982) sur des rats et souris exposés par gavage. Oral Slope Factor de 1,3.10+5 (mg/kg.j)-1</t>
  </si>
  <si>
    <t>Valeur OEHHA (2011) calculée sur base d'une étude NTP (1980-1982) sur des rats et souris exposés par gavage. Unit Risk de 38 (µg/m3)-1 à utiliser pour la voie inhalatoire</t>
  </si>
  <si>
    <r>
      <t>C</t>
    </r>
    <r>
      <rPr>
        <vertAlign val="subscript"/>
        <sz val="10"/>
        <rFont val="Arial"/>
        <family val="2"/>
      </rPr>
      <t>4</t>
    </r>
    <r>
      <rPr>
        <sz val="10"/>
        <rFont val="Arial"/>
        <family val="2"/>
      </rPr>
      <t>H</t>
    </r>
    <r>
      <rPr>
        <vertAlign val="subscript"/>
        <sz val="10"/>
        <rFont val="Arial"/>
        <family val="2"/>
      </rPr>
      <t>8</t>
    </r>
    <r>
      <rPr>
        <sz val="10"/>
        <rFont val="Arial"/>
        <family val="2"/>
      </rPr>
      <t>O</t>
    </r>
    <r>
      <rPr>
        <vertAlign val="subscript"/>
        <sz val="10"/>
        <rFont val="Arial"/>
        <family val="2"/>
      </rPr>
      <t>2</t>
    </r>
  </si>
  <si>
    <t>MACKAY (2006) Second Edition. Hanbook Of Physical-Chemical Properties and Environmental Fate for Organic Chemicals- Valeur à 9,5 °C (Stephenson &amp; Stuart, 1986)</t>
  </si>
  <si>
    <t>MACKAY (2006) Second Edition. Hanbook Of Physical-Chemical Properties and Environmental Fate for Organic Chemicals-calcul sur base de l'équation de Antoine à 10 °C [-2,08-99,71 °C] de Boublik et al. 1984</t>
  </si>
  <si>
    <t>MACKAY (2006) second edition. Handbook of Physical-Chemical Properties and Environmental Fate for Organic Chemicals. Moyenne géométrique sur 11 valeurs. Valeur recommandée : 0,73</t>
  </si>
  <si>
    <t>MACKAY (2006) second edition. Handbook of Physical-Chemical Properties and Environmental Fate for Organic Chemicals.1 valeur (Kollig, 1993)</t>
  </si>
  <si>
    <t>pas de pKa dans les base de données, mais un pKs (constante de formation d'un précipité à l'équilibre de la réaction) de 22,83 issu de Mackay</t>
  </si>
  <si>
    <r>
      <t>C</t>
    </r>
    <r>
      <rPr>
        <vertAlign val="subscript"/>
        <sz val="10"/>
        <rFont val="Arial"/>
        <family val="2"/>
      </rPr>
      <t>4</t>
    </r>
    <r>
      <rPr>
        <sz val="10"/>
        <rFont val="Arial"/>
        <family val="2"/>
      </rPr>
      <t>H</t>
    </r>
    <r>
      <rPr>
        <vertAlign val="subscript"/>
        <sz val="10"/>
        <rFont val="Arial"/>
        <family val="2"/>
      </rPr>
      <t>10</t>
    </r>
    <r>
      <rPr>
        <sz val="10"/>
        <rFont val="Arial"/>
        <family val="2"/>
      </rPr>
      <t>O</t>
    </r>
  </si>
  <si>
    <t>MACKAY (2006) Second Edition. Hanbook Of Physical-Chemical Properties and Environmental Fate for Organic Chemicals- Valeur à 10°C (Bennett &amp; Philp, 1928)</t>
  </si>
  <si>
    <t>MACKAY Second Edition. Hanbook Of Physical-Chemical Properties and Environmental Fate for Organic Chemicals-calcul sur base de l'équation de Antoine à 10 °C [-23,1 à 55,434°C] - Ambrose et al. 1972, Boublik et al. 1984</t>
  </si>
  <si>
    <t>MACKAY (2006) second edition. Handbook of Physical-Chemical Properties and Environmental Fate for Organic Chemicals. Moyenne géométrique sur 6 valeurs. Valeur recommandée : 0,89</t>
  </si>
  <si>
    <t>Une seule valeur de pKa de -3,59 dans HSDB - Non sélectionnée (impact sur VSH usage résidentiel avec jardin potager)</t>
  </si>
  <si>
    <r>
      <t>C</t>
    </r>
    <r>
      <rPr>
        <vertAlign val="subscript"/>
        <sz val="10"/>
        <rFont val="Arial"/>
        <family val="2"/>
      </rPr>
      <t>7</t>
    </r>
    <r>
      <rPr>
        <sz val="10"/>
        <rFont val="Arial"/>
        <family val="2"/>
      </rPr>
      <t>H</t>
    </r>
    <r>
      <rPr>
        <vertAlign val="subscript"/>
        <sz val="10"/>
        <rFont val="Arial"/>
        <family val="2"/>
      </rPr>
      <t>6</t>
    </r>
    <r>
      <rPr>
        <sz val="10"/>
        <rFont val="Arial"/>
        <family val="2"/>
      </rPr>
      <t>N</t>
    </r>
    <r>
      <rPr>
        <vertAlign val="subscript"/>
        <sz val="10"/>
        <rFont val="Arial"/>
        <family val="2"/>
      </rPr>
      <t>2</t>
    </r>
    <r>
      <rPr>
        <sz val="10"/>
        <rFont val="Arial"/>
        <family val="2"/>
      </rPr>
      <t>O</t>
    </r>
    <r>
      <rPr>
        <vertAlign val="subscript"/>
        <sz val="10"/>
        <rFont val="Arial"/>
        <family val="2"/>
      </rPr>
      <t>4</t>
    </r>
  </si>
  <si>
    <t>MACKAY second edition. Handbook of Physical-Chemical Properties and Envionmental Fate for Organic Chemcals. Pas de valeur/équation à 10°C dans Lide/mackay. Valeur à 12,4°C (Phelan &amp; Barnell, 2001)</t>
  </si>
  <si>
    <t>MACKAY second edition. Handbook of Physical-Chemical Properties and Envionmental Fate for Organic Chemcals. Valeur à 10°C - range (277,5-344,15°K), Pella, 1977</t>
  </si>
  <si>
    <t>MACKAY (2006) second edition. Handbook of Physical-Chemical Properties and Environmental Fate for Organic Chemicals. Moyenne géométrique sur 4 valeurs. Valeur recommandée : 1,98</t>
  </si>
  <si>
    <t>MACKAY second edition, volume 3 p 2814. Handbook of Physical-Chemical Properties and Environmental Fate for Ogranic Chemicals. 1 valeur.</t>
  </si>
  <si>
    <t>MaCKAY second edition, volume 3 p 2796. Handbook Physical-Chemical Properties and Environmental Fate for Organic Chemicals.</t>
  </si>
  <si>
    <t>Valeur OEHHA (2011) calculée sur base d'une étude Lee et al. (1978) sur des rats et souris exposés par gavage Oral Slope Factor de 0,31 (mg/kg.j)-1</t>
  </si>
  <si>
    <t>Valeur OEHHA (2011) calculée sur base d'une étude Lee et al. (1978) sur des rats et souris exposés par gavage. Unit Risk de 0,000089 (µg/m3)-1 à utiliser pour la voie inhalatoire (organes : foie, glandes mammaires)</t>
  </si>
  <si>
    <t>MACKAY second edition. Handbook of Physical-Chemical Properties and Envionmental Fate for Organic Chemcals. Pas de valeur/équation à 10°C dans Lide/mackay. Valeur à 20°C (Mabey et al., 1982)</t>
  </si>
  <si>
    <t>MACKAY second edition. Handbook of Physical-Chemical Properties and Envionmental Fate for Organic Chemcals. Valeur à 10°C - range (277,5-323,15°K), Pella, 1977</t>
  </si>
  <si>
    <t>Howard, 1989 - calculated</t>
  </si>
  <si>
    <t>MACKAY (2006) second edition. Handbook of Physical-Chemical Properties and Environmental Fate for Organic Chemicals. Moyenne géométrique sur 6 valeurs. Valeurs recommandées : 2,06; 2,10.</t>
  </si>
  <si>
    <t>MACKAY second edition, Handbook of Physical-Chemical Properties and Environmental Fate for Ogranic Chemicals. Moyenne Geométrique de 2 valeurs.</t>
  </si>
  <si>
    <t>ATSDR, VTR orale intermédiaire</t>
  </si>
  <si>
    <r>
      <t>CH</t>
    </r>
    <r>
      <rPr>
        <vertAlign val="subscript"/>
        <sz val="10"/>
        <rFont val="Arial"/>
        <family val="2"/>
      </rPr>
      <t>3</t>
    </r>
    <r>
      <rPr>
        <sz val="10"/>
        <rFont val="Arial"/>
        <family val="2"/>
      </rPr>
      <t>Br</t>
    </r>
  </si>
  <si>
    <t>MACKAY second edition. Handbook of Physical-Chemical Properties and Envionmental Fate for Organic Chemcals. Valeur à 10°C (Horvath, 1982)</t>
  </si>
  <si>
    <t>MACKAY second edition. Handbook of Physical-Chemical Properties and Envionmental Fate for Organic Chemcals. Valeur à 10°C à partir de l'équation d'Antoine - range (201 - 296°K), Stephenson &amp; Malanowski, 1987)</t>
  </si>
  <si>
    <t>MACKAY (2006) second edition. Handbook of Physical-Chemical Properties and Environmental Fate for Organic Chemicals. Moyenne géométrique sur 3 valeurs. Valeur recommandée : 1,19</t>
  </si>
  <si>
    <t>MACKAY (2006) second edition. Handbook of Physical-Chemical Properties and Environmental Fate for Organic Chemicals. Moyenne géométrique de 4 valeurs</t>
  </si>
  <si>
    <t>EFSA, valeur retenue par l'Union Européenne</t>
  </si>
  <si>
    <r>
      <t>CH</t>
    </r>
    <r>
      <rPr>
        <vertAlign val="subscript"/>
        <sz val="10"/>
        <rFont val="Arial"/>
        <family val="2"/>
      </rPr>
      <t>3</t>
    </r>
    <r>
      <rPr>
        <sz val="10"/>
        <rFont val="Arial"/>
        <family val="2"/>
      </rPr>
      <t>Cl</t>
    </r>
  </si>
  <si>
    <t>MACKAY second edition, volume 3 p 2893. Handbook of Physical-Chmical Properties and Environmental Fate for Organic Chemicals.Valeur à 10°C expérimentale (Horvath, 1982) - range 5 - 80°C</t>
  </si>
  <si>
    <t>MACKAY second edition. Handbook of Physical-Chmical Properties and Environmental Fate for Organic Chemicals. Valeur à 10°C calculée à partir de l'équation d'Antoine II (Stephenson &amp; Malanowski, 1987) - range 247 - 310°K</t>
  </si>
  <si>
    <t>MACKAY (2006) second edition. Handbook of Physical-Chemical Properties and Environmental Fate for Organic Chemicals. Moyenne géométrique sur 5 valeurs. Valeur recommandée : 0,91</t>
  </si>
  <si>
    <t>MACKAY (2006) second edition. Handbook of Physical-Chemical Properties and Environmental Fate for Organic Chemicals. Moyenne géométrique de 2 valeurs</t>
  </si>
  <si>
    <r>
      <t>C</t>
    </r>
    <r>
      <rPr>
        <vertAlign val="subscript"/>
        <sz val="10"/>
        <rFont val="Arial"/>
        <family val="2"/>
      </rPr>
      <t>8</t>
    </r>
    <r>
      <rPr>
        <sz val="10"/>
        <rFont val="Arial"/>
        <family val="2"/>
      </rPr>
      <t>H</t>
    </r>
    <r>
      <rPr>
        <vertAlign val="subscript"/>
        <sz val="10"/>
        <rFont val="Arial"/>
        <family val="2"/>
      </rPr>
      <t>19</t>
    </r>
    <r>
      <rPr>
        <sz val="10"/>
        <rFont val="Arial"/>
        <family val="2"/>
      </rPr>
      <t>O</t>
    </r>
    <r>
      <rPr>
        <vertAlign val="subscript"/>
        <sz val="10"/>
        <rFont val="Arial"/>
        <family val="2"/>
      </rPr>
      <t>2</t>
    </r>
    <r>
      <rPr>
        <sz val="10"/>
        <rFont val="Arial"/>
        <family val="2"/>
      </rPr>
      <t>PS</t>
    </r>
    <r>
      <rPr>
        <vertAlign val="subscript"/>
        <sz val="10"/>
        <rFont val="Arial"/>
        <family val="2"/>
      </rPr>
      <t>3</t>
    </r>
  </si>
  <si>
    <t>MACKAY second edition, volume 3 p 2893. Handbook of Physical-Chmical Properties and Environmental Fate for Organic Chemicals.pas de valeur à 10°C. Valeur à 20°C (Melnikov, 1971; Spencer, 1973)</t>
  </si>
  <si>
    <t>MACKAY second edition, volume 3 p 2893. Handbook of Physical-Chmical Properties and Environmental Fate for Organic Chemicals. Valeur à 10°C calculée à partir de l'équation de Mac Dougall &amp; Archer, 1964 - range 10 - 40 °C</t>
  </si>
  <si>
    <t>MACKAY (2006) second edition. Handbook of Physical-Chemical Properties and Environmental Fate for Organic Chemicals. Moyenne géométrique sur 8 valeurs. Valeur recommandée : 4,02</t>
  </si>
  <si>
    <t>MACKAY (2006) second edition. Handbook of Physical-Chemical Properties and Environmental Fate for Organic Chemicals. Moyenne géométrique de 32 valeurs</t>
  </si>
  <si>
    <t>ATSDR, valeur intermédiaire</t>
  </si>
  <si>
    <r>
      <t>C</t>
    </r>
    <r>
      <rPr>
        <vertAlign val="subscript"/>
        <sz val="10"/>
        <rFont val="Arial"/>
        <family val="2"/>
      </rPr>
      <t>3</t>
    </r>
    <r>
      <rPr>
        <sz val="10"/>
        <rFont val="Arial"/>
        <family val="2"/>
      </rPr>
      <t>H</t>
    </r>
    <r>
      <rPr>
        <vertAlign val="subscript"/>
        <sz val="10"/>
        <rFont val="Arial"/>
        <family val="2"/>
      </rPr>
      <t>5</t>
    </r>
    <r>
      <rPr>
        <sz val="10"/>
        <rFont val="Arial"/>
        <family val="2"/>
      </rPr>
      <t>ClO</t>
    </r>
  </si>
  <si>
    <t>Lide (2009-2010). Handbook of Chemistry and Physics. David R. Lide Editor-in-Chief 90th Edition 2009-2010. Solubilité à 20°C</t>
  </si>
  <si>
    <t>MACKAY second edition, volume 3 p 2313. Handbook of Physical-Chmical Properties and Environmental Fate for Organic Chemicals. Valeur à 10°C calculée à partir d'une équation de Yaws (range 216-610 K)</t>
  </si>
  <si>
    <t>Lide, 2009, 2010</t>
  </si>
  <si>
    <t>MACKAY (2006) second edition. Handbook of Physical-Chemical Properties and Environmental Fate for Organic Chemicals. Moyenne géométrique sur 4 valeurs. Valeur recommandée : 0,45</t>
  </si>
  <si>
    <t>MACKAY (2006) second edition. Handbook of Physical-Chemical Properties and Environmental Fate for Organic Chemicals. Seule valeur disponible</t>
  </si>
  <si>
    <t>WHO, Guidelines for Drinking water quality and air quality in Europe</t>
  </si>
  <si>
    <t>US-EPA IRIS. Effets sur le système respiratoire. Last updated 04/01/1992</t>
  </si>
  <si>
    <t>OEHHA : VTR = 0,08 (mg/kg.jr)-1. OEHHA 2009. Air Toxics Hot Spots Program Technical Support Document for Cancer Potencies. Appendix B. Chemical-specific summaries of the information used to derive unit risk and cancer potency values. Updated 2011</t>
  </si>
  <si>
    <t>OEHHA : VTR = 0,023 (mg/m³)-1. OEHHA 2009. Air Toxics Hot Spots Program Technical Support Document for Cancer Potencies. Appendix B. Chemical-specific summaries of the information used to derive unit risk and cancer potency values. Updated 2011</t>
  </si>
  <si>
    <r>
      <t>C</t>
    </r>
    <r>
      <rPr>
        <vertAlign val="subscript"/>
        <sz val="10"/>
        <rFont val="Arial"/>
        <family val="2"/>
      </rPr>
      <t>6</t>
    </r>
    <r>
      <rPr>
        <sz val="10"/>
        <rFont val="Arial"/>
        <family val="2"/>
      </rPr>
      <t>H</t>
    </r>
    <r>
      <rPr>
        <vertAlign val="subscript"/>
        <sz val="10"/>
        <rFont val="Arial"/>
        <family val="2"/>
      </rPr>
      <t>14</t>
    </r>
  </si>
  <si>
    <t>Lide (2009-2010). Handbook of Chemistry and Physics. David R. Lide Editor-in-Chief 90th Edition 2009-2010. Solubilité à 25°C</t>
  </si>
  <si>
    <t>Lide (2009-2010). Handbook of Chemistry and Physics. David R. Lide Editor-in-Chief 90th Edition 2009-2010. équation de régression, valeur à 10°C</t>
  </si>
  <si>
    <t>Lide (2009-2010). Handbook of Chemistry and Physics. David R. Lide Editor-in-Chief 90th Edition 2009-2010.</t>
  </si>
  <si>
    <t>Lide (2009-2010). Handbook of Chemistry and Physics. David R. Lide Editor-in-Chief 90th Edition 2009-2010. valeur de Koc = 3410 L/kg</t>
  </si>
  <si>
    <t>valeur de pKa = 14,2 (Lide, HSDB, Mackay) n'a pas d'influence sur la VSH - non retenue</t>
  </si>
  <si>
    <t>Santé canada, 2010</t>
  </si>
  <si>
    <t>US-EPA IRIS, 2005</t>
  </si>
  <si>
    <t>Solubilité à 22°C. Verschueren K. (1996), Handbook of environmental data on organic chemicals</t>
  </si>
  <si>
    <t>Pression de vapeur à 20°C. Verschueren K. (1996), Handbook of environmental data on organic chemicals</t>
  </si>
  <si>
    <t xml:space="preserve">MACKAY (2006) second edition. Handbook of Physical-Chemical Properties and Environmental Fate for Organic Chemicals. Moyenne géométrique sur 19 valeurs. </t>
  </si>
  <si>
    <t>MACKAY (2006) second edition. Handbook of Physical-Chemical Properties and Environmental Fate for Organic Chemicals. Moy géom de 4 valeurs</t>
  </si>
  <si>
    <t xml:space="preserve">Lide (2009-2010). Handbook of Chemistry and Physics. David R. Lide Editor-in-Chief 90th Edition 2009-2010. </t>
  </si>
  <si>
    <t>Health Canada 2010</t>
  </si>
  <si>
    <t>Chemical Safety Reports, Dow Chemical</t>
  </si>
  <si>
    <t>C15H24O</t>
  </si>
  <si>
    <t>MACKAY second edition, volume 3 p 2862-p2864. Handbook of Physical-Chemical Properties and Environmental Fate for Organic Chemicals.</t>
  </si>
  <si>
    <t>MACKAY second edition, volume 3 p 2862-p2864. Handbook of Physical-Chemical Properties and Environmental Fate for Organic Chemicals. Pas de valeur/équation à 10°C. Valeur à 25°C de Brix et al. (1981)</t>
  </si>
  <si>
    <t>MACKAY second edition, volume 3 p 2862-p2864. Handbook of Physical-Chemical Properties and Environmental Fate for Organic Chemicals. Pas de valeur/équation à 10°C. Valeur à 25°C de Bidleman &amp; Renberg (1985), également citée dans HSDB</t>
  </si>
  <si>
    <t>MACKAY second edition, volume 3 p 2862-p2863. Handbook of Physical-Chemical Properties and Environmental Fate for Organic Chemicals. Pas de valeur/équation à 10°C. Valeur (selected) à 25°C de Yoshida et al. (1986), selected</t>
  </si>
  <si>
    <t>Saisine Afsset n°2003/AS03</t>
  </si>
  <si>
    <t>ethylene glycol</t>
  </si>
  <si>
    <t>C2H6O2</t>
  </si>
  <si>
    <t>miscible dans l'eau d'après Mackay (2006); HSDB, ATSDR</t>
  </si>
  <si>
    <t>Mackay (2006) - Valeur à 10°C d'après l'équation de Yaws (1994) - range 160-645 K - Valeur cohérente avec valeur de Hales (1981) de 2,698 Pa à 10°C</t>
  </si>
  <si>
    <t>Mackay et al., 2006 ; HSDB et ATSDR</t>
  </si>
  <si>
    <t>Mackay (2006) - Moyenne géométrique sur 5 valeurs - HSDB et ATSDR proposent -1,36</t>
  </si>
  <si>
    <t>pas de valeur dans les bases de données valeur calculée à partir de Log Kow (loi de Karichkoff)</t>
  </si>
  <si>
    <t>US-EPA (1987)</t>
  </si>
  <si>
    <t>OEHHA (REL chronique)</t>
  </si>
  <si>
    <t>Al</t>
  </si>
  <si>
    <t>Lide (2010). Handbook of Chemistry and Physics. 90th Edition. 2009-2010. CRC Press, New York.</t>
  </si>
  <si>
    <t>ATSDR 2008</t>
  </si>
  <si>
    <t>BCF pomme de terre issu de cultures en jardin potager de zone riveraine de pollution atmosphérique de proximité du sillon industriel Sambre-Meuse + Aubange (Référence : Pollusol 2)</t>
  </si>
  <si>
    <t>BCF carotte issu de cultures en jardin potager de zone riveraine de pollution atmosphérique de proximité du sillon industriel Sambre-Meuse + Aubange (Référence : Pollusol 2)</t>
  </si>
  <si>
    <t>BCF salade issu de cultures en jardin potager de zone riveraine de pollution atmosphérique de proximité du sillon industriel Sambre-Meuse + Aubange (Référence : Pollusol 2)</t>
  </si>
  <si>
    <t>BCF (haricot+courgette) issu de cultures en jardin potager de zone riveraine de pollution atmosphérique de proximité du sillon industriel Sambre-Meuse + Aubange (Référence : Pollusol 2)</t>
  </si>
  <si>
    <t>Sb</t>
  </si>
  <si>
    <t>US-EPA 1995</t>
  </si>
  <si>
    <t>Ba</t>
  </si>
  <si>
    <t>US-EPA 2005/ATSDR 2007</t>
  </si>
  <si>
    <t>RIVM 2001</t>
  </si>
  <si>
    <t>Be</t>
  </si>
  <si>
    <t>US-EPA 1998/ATSDR 2002</t>
  </si>
  <si>
    <t>OEHHA 2001</t>
  </si>
  <si>
    <t>US_EPA 1998/OEHHA 2001</t>
  </si>
  <si>
    <t>Co</t>
  </si>
  <si>
    <t>ATSDR 2004</t>
  </si>
  <si>
    <t>Sn</t>
  </si>
  <si>
    <t>RIVM 2009</t>
  </si>
  <si>
    <t>Mn</t>
  </si>
  <si>
    <t>OMS 2008</t>
  </si>
  <si>
    <t>OMS 2000</t>
  </si>
  <si>
    <t>Mo</t>
  </si>
  <si>
    <t>US-EPA 1993</t>
  </si>
  <si>
    <t>Se</t>
  </si>
  <si>
    <t>Ti</t>
  </si>
  <si>
    <t>NSF 2005</t>
  </si>
  <si>
    <t>V</t>
  </si>
  <si>
    <t>US-EPA 1996</t>
  </si>
  <si>
    <t>CEQG - CCME 1997</t>
  </si>
  <si>
    <t>Ag</t>
  </si>
  <si>
    <t>US-EPA (IRIS) - 1991</t>
  </si>
  <si>
    <t>B</t>
  </si>
  <si>
    <t>Sr</t>
  </si>
  <si>
    <t>Otte et al., 2001. RIVM</t>
  </si>
  <si>
    <t>Mackay et al., 2006. Handbook of Physical-Chemical Properties and Environmental Fate for Organic Chemicals. Volume II. Halogenated Hydrocarbons. Second Edition. CRC</t>
  </si>
  <si>
    <t>Chiou et al., 1983 in ATSDR. Toxicological Profile for Polychlorinated Biphenyls (PCBs). November 2000</t>
  </si>
  <si>
    <t>AFSSA 2010</t>
  </si>
  <si>
    <t>US EPA 1997</t>
  </si>
  <si>
    <t>OEHHA 2009</t>
  </si>
  <si>
    <t>Cullen et al., 1996</t>
  </si>
  <si>
    <t>Gschwend and Wu, 1985 in ATSDR. Toxicological Profile for Polychlorinated Biphenyls (PCBs). November 2000</t>
  </si>
  <si>
    <t>Girvin and Scott, 1997 in ATSDR. Toxicological Profile for Polychlorinated Biphenyls (PCBs). November 2000</t>
  </si>
  <si>
    <t>B. Larsen et al. dans Environmental Analytical Chemistry of PCBs. Edited by J. Albaigés. Current Topics in Environmental and Toxicological Chemistry. Volume 16. Gordon and Breach Science Publishers</t>
  </si>
  <si>
    <t>TOXNET-ChemIDPlus</t>
  </si>
  <si>
    <t>pas de donnée dans Lijzen (2001)</t>
  </si>
  <si>
    <t xml:space="preserve">MACKAY Second Edition (2006). Handbook Of Physical-Chemical Properties and Environmental Fate for Organic Chemicals- Moyenne géométrique sur 10 valeurs </t>
  </si>
  <si>
    <t xml:space="preserve">MACKAY Second Edition (2006). Handbook Of Physical-Chemical Properties and Environmental Fate for Organic Chemicals- Moyenne géométrique sur 18 valeurs </t>
  </si>
  <si>
    <t>strong acid - Valeur IUPAC</t>
  </si>
  <si>
    <t>strong acid (IUPAC)</t>
  </si>
  <si>
    <t>OEHHA (1997) - Oral slope Factor de 0,056 (mg/kg.j)-1- calcul : 10-5 / 0,056</t>
  </si>
  <si>
    <t>C8H14ClN5</t>
  </si>
  <si>
    <t xml:space="preserve">MACKAY Second Edition (2006). Handbook Of Physical-Chemical Properties and Environmental Fate for Organic Chemicals- Valeur à 20°C </t>
  </si>
  <si>
    <t>MACKAY Second Edition (2006). Handbook Of Physical-Chemical Properties and Environmental Fate for Organic Chemicals- Moyenne géométrique sur 28 valeurs</t>
  </si>
  <si>
    <t>MACKAY Second Edition (2006). Handbook Of Physical-Chemical Properties and Environmental Fate for Organic Chemicals- Moyenne géométrique sur 70 valeurs</t>
  </si>
  <si>
    <t>MACKAY Second Edition (2006). Handbook Of Physical-Chemical Properties and Environmental Fate for Organic Chemicals</t>
  </si>
  <si>
    <t>very weak base (IUPAC)</t>
  </si>
  <si>
    <t>OEHHA (1999) - Oral slope Factor de 0,23 (mg/kg.j)-1- calcul : 10-5 / 0,23</t>
  </si>
  <si>
    <t>C10H12N2O3S</t>
  </si>
  <si>
    <t>Lide (2009-2010). CRC Handbook of Chemistry and Physics. David R.Lide Editor-in-Chief 90th Edition - valeur à 20°C</t>
  </si>
  <si>
    <t>TOXNET - HSDB (Web)</t>
  </si>
  <si>
    <t>Calcul Koc = 0,411 x Kow</t>
  </si>
  <si>
    <t>weak acid (IUPAC)</t>
  </si>
  <si>
    <t>US EPA (1998)</t>
  </si>
  <si>
    <t>C9H13BrN2O2</t>
  </si>
  <si>
    <t>MACKAY (2006) Second Edition. Hanbook Of Physical-Chemical Properties and Environmental Fate for Organic Chemicals- valeur à 20 °C</t>
  </si>
  <si>
    <t>valeur très faibles : 5.10-5 dans Mackay, HSDB, INERIS- Valeur à 20°C</t>
  </si>
  <si>
    <t xml:space="preserve">MACKAY Second Edition (2006). Handbook Of Physical-Chemical Properties and Environmental Fate for Organic Chemicals- Moyenne géométrique sur 11 valeurs </t>
  </si>
  <si>
    <t xml:space="preserve">MACKAY Second Edition (2006). Handbook Of Physical-Chemical Properties and Environmental Fate for Organic Chemicals- Moyenne géométrique sur 35 valeurs </t>
  </si>
  <si>
    <t>Mackay (2006) - idem HSDB et INERIS</t>
  </si>
  <si>
    <t>very weak acid (IUPAC)</t>
  </si>
  <si>
    <t>C9H9N3O2</t>
  </si>
  <si>
    <t xml:space="preserve">MACKAY Second Edition (2006). Handbook Of Physical-Chemical Properties and Environmental Fate for Organic Chemicals- Moyenne géométrique sur 13 valeurs </t>
  </si>
  <si>
    <t xml:space="preserve">MACKAY Second Edition (2006). Handbook Of Physical-Chemical Properties and Environmental Fate for Organic Chemicals- Moyenne géométrique sur 15 valeurs </t>
  </si>
  <si>
    <t>weak base (IUPAC)</t>
  </si>
  <si>
    <t>EFSA</t>
  </si>
  <si>
    <t>C12H16N2O3</t>
  </si>
  <si>
    <t>Verchueren (1986)</t>
  </si>
  <si>
    <t>TOXNET - ChemIDPlus (web) - Valeur à 20°C</t>
  </si>
  <si>
    <t>Verschueren (1996) - valeur à 20°C</t>
  </si>
  <si>
    <t>TOXNET - ChemIDPlus (web)</t>
  </si>
  <si>
    <t xml:space="preserve">Calcul Log Koc à partir de Log Kow (Koc = 0,411 x Kow) </t>
  </si>
  <si>
    <t>Valeur IUPAC</t>
  </si>
  <si>
    <t>C10H8ClN3O</t>
  </si>
  <si>
    <t>MACKAY Second Edition. Hanbook Of Physical-Chemical Properties and Environmental Fate for Organic Chemicals- pas de valeur/équation à 10 °C- valeur à 20°C</t>
  </si>
  <si>
    <t>TOXNET - HSDB (web) - valeur à 20°C</t>
  </si>
  <si>
    <t>TOXNET - HSDB</t>
  </si>
  <si>
    <t xml:space="preserve">MACKAY Second Edition (2006). Handbook Of Physical-Chemical Properties and Environmental Fate for Organic Chemicals- Moyenne géométrique sur 7 valeurs </t>
  </si>
  <si>
    <t xml:space="preserve">MACKAY Second Edition (2006). Handbook Of Physical-Chemical Properties and Environmental Fate for Organic Chemicals- Moyenne géométrique sur 4 valeurs </t>
  </si>
  <si>
    <t>TOXNET -HSDB (Web)</t>
  </si>
  <si>
    <t>C10H12ClNO2</t>
  </si>
  <si>
    <t>MACKAY Second Edition. Hanbook Of Physical-Chemical Properties and Environmental Fate for Organic Chemicals- valeur à 20°C</t>
  </si>
  <si>
    <t xml:space="preserve">MACKAY Second Edition (2006). Handbook Of Physical-Chemical Properties and Environmental Fate for Organic Chemicals- Moyenne géométrique sur 17 valeurs </t>
  </si>
  <si>
    <t>not applicable (IUPAC)</t>
  </si>
  <si>
    <t>EFSA (DIR 04/20)</t>
  </si>
  <si>
    <t>C10H13ClN2O</t>
  </si>
  <si>
    <t xml:space="preserve">Mackay et al., 2006. Handbook of Physical-Chemical Properties and Environmental Fate for Organic Chemicals. Volume IV. </t>
  </si>
  <si>
    <t>Mackay et al., 2006. Handbook of Physical-Chemical Properties and Environmental Fate for Organic Chemicals. Volume IV. Valeur à 20°C - idem HSDB et Verchueren</t>
  </si>
  <si>
    <t>Mackay et al., 2006. Handbook of Physical-Chemical Properties and Environmental Fate for Organic Chemicals. Volume IV. Valeur à 20°C</t>
  </si>
  <si>
    <t xml:space="preserve">MACKAY Second Edition (2006). Handbook Of Physical-Chemical Properties and Environmental Fate for Organic Chemicals- Moyenne géométrique sur 19 valeurs </t>
  </si>
  <si>
    <t>OMS - DWGV (2011) - TDI de 11,3 µg/kg.j</t>
  </si>
  <si>
    <t>C9H13ClN6</t>
  </si>
  <si>
    <t>MACKAY Second Edition. Hanbook Of Physical-Chemical Properties and Environmental Fate for Organic Chemicals, Volum IV - pas de valeur à 10°C - valeur à 20°C</t>
  </si>
  <si>
    <t>MACKAY Second Edition. Hanbook Of Physical-Chemical Properties and Environmental Fate for Organic Chemicals, Volume IV - Valeur à 20°C</t>
  </si>
  <si>
    <t xml:space="preserve">MACKAY Second Edition (2006). Handbook Of Physical-Chemical Properties and Environmental Fate for Organic Chemicals- Moyenne géométrique sur 16 valeurs </t>
  </si>
  <si>
    <t xml:space="preserve">MACKAY Second Edition (2006). Handbook Of Physical-Chemical Properties and Environmental Fate for Organic Chemicals- Moyenne géométrique sur 28 valeurs </t>
  </si>
  <si>
    <t>MACKAY Second Edition, volume IV. Hanbook Of Physical-Chemical Properties and Environmental Fate for Organic Chemicals.</t>
  </si>
  <si>
    <t>OMS - DWGV (2011) - TDI de 0,198 µg/kg.j</t>
  </si>
  <si>
    <t>C8H6Cl2O3</t>
  </si>
  <si>
    <t>MACKAY (2006). Second edition. Handbook of Physical-Chemical Properties and Environmental Fate for Organic Chemicals.</t>
  </si>
  <si>
    <t>MACKAY (2006). Second edition. Handbook of Physical-Chemical Properties and Environmental Fate for Organic Chemicals. Valeur à 20°C</t>
  </si>
  <si>
    <t>MACKAY Second Edition (2006). Handbook Of Physical-Chemical Properties and Environmental Fate for Organic Chemicals- Valeur recommandée  = médiane  sur 12 valeurs (car valeurs négatives et positives- grande variabilité)</t>
  </si>
  <si>
    <t>MACKAY Second Edition (2006). Handbook Of Physical-Chemical Properties and Environmental Fate for Organic Chemicals- Médiane sur 20 valeurs (car valeurs négatives et positives- grande variabilité)</t>
  </si>
  <si>
    <t xml:space="preserve">MACKAY Second Edition, volume II. Hanbook Of Physical-Chemical Properties and Environmental Fate for Organic Chemicals. </t>
  </si>
  <si>
    <t>US EPA (1988)</t>
  </si>
  <si>
    <t>2,6-dichlorobenzamide</t>
  </si>
  <si>
    <t>C7H5Cl2NO</t>
  </si>
  <si>
    <t>TOXNET - HSDB (web)</t>
  </si>
  <si>
    <t>Pas de données trouvées</t>
  </si>
  <si>
    <t>C9H10Cl2N2O</t>
  </si>
  <si>
    <t>MACKAY second edition (2006) . Handbook of Physical-Chemical Properties and Envionmental Fate for Organic Chemicals. Valeur à 20°C</t>
  </si>
  <si>
    <t xml:space="preserve">MACKAY Second Edition (2006). Handbook Of Physical-Chemical Properties and Environmental Fate for Organic Chemicals- Moyenne géométrique sur 19valeurs </t>
  </si>
  <si>
    <t xml:space="preserve">MACKAY Second Edition (2006). Handbook Of Physical-Chemical Properties and Environmental Fate for Organic Chemicals- Moyenne géométrique sur 47 valeurs </t>
  </si>
  <si>
    <t>US-EPA (1988)</t>
  </si>
  <si>
    <t>C13H18O5S</t>
  </si>
  <si>
    <t>Verschueren (1996)- valeur à 25°C</t>
  </si>
  <si>
    <t>TOXNET - HSDB (web) et fiche toxicologie INERIS de l'ethofumesate</t>
  </si>
  <si>
    <t>C12H20N4O2</t>
  </si>
  <si>
    <t>Lide (2009-2010). CRC Handbook of Chemistry and Physics. David R. Lide Editor-in-Chief 90th Edition 2009-2010. Valeur à 25°C (idem HSDB)</t>
  </si>
  <si>
    <t>TOXNET - HSDB (web) (valeur à 25°C extrapolée)</t>
  </si>
  <si>
    <t xml:space="preserve">TOXNET - HSDB (web) </t>
  </si>
  <si>
    <t>US EPA - IRIS (1987)</t>
  </si>
  <si>
    <t xml:space="preserve">C12H18N2O </t>
  </si>
  <si>
    <t>MACKAY (2006) Second Edition. Hanbook Of Physical-Chemical Properties and Environmental Fate for Organic Chemicals</t>
  </si>
  <si>
    <t>MACKAY (2006) Second Edition. Hanbook Of Physical-Chemical Properties and Environmental Fate for Organic - Valeur à 20°C</t>
  </si>
  <si>
    <t>MACKAY (2006) Second Edition. Hanbook Of Physical-Chemical Properties and Environmental Fate for Organic Chemicals - valeur à 20°C</t>
  </si>
  <si>
    <t>MACKAY (2006) Second Edition. Hanbook Of Physical-Chemical Properties and Environmental Fate for Organic Chemicals, Moyenne géométrique sur 9 valeurs,</t>
  </si>
  <si>
    <t>MACKAY (2006) Second Edition. Hanbook Of Physical-Chemical Properties and Environmental Fate for Organic Chemicals, Moyenne géométrique sur 27 valeurs,</t>
  </si>
  <si>
    <t>OMS- DWGV (2011) - TDI de 3 µg/kg.j</t>
  </si>
  <si>
    <t>C9H10Cl2N2O2</t>
  </si>
  <si>
    <t>MACKAY (2006) second edition. Handbook of Physical-Chemical Properties and Envionmental Fate for Organic Chemicals. Valeur à 20°C</t>
  </si>
  <si>
    <t>MACKAY (2006) second edition. Handbook of Physical-Chemical Properties and Environmental Fate for Organic Chemcals. Moyenne géométrique sur 14 valeurs,</t>
  </si>
  <si>
    <t>MACKAY (2006) second edition. Handbook of Physical-Chemical Properties and Environmental Fate for Organic Chemcals. Moyenne géométrique sur 42 valeurs,</t>
  </si>
  <si>
    <t xml:space="preserve"> C10H10N4O </t>
  </si>
  <si>
    <t>TOXNET-ChemIDplus- Valeur à 20°C</t>
  </si>
  <si>
    <t xml:space="preserve"> C14H16ClN3O </t>
  </si>
  <si>
    <t>INERIS - fiche toxicologique- Valeur à 20°C</t>
  </si>
  <si>
    <t>C10H11N3OS</t>
  </si>
  <si>
    <t>1,51E10-5</t>
  </si>
  <si>
    <t>INERIS - fiche toxicologique</t>
  </si>
  <si>
    <t>C9H11BrN2O2</t>
  </si>
  <si>
    <t>HSDB-TOXNET - Valeur à 20°C</t>
  </si>
  <si>
    <t>Calcul Koc à partir de Kow : Koc = 0,411 x Kow</t>
  </si>
  <si>
    <t>C15H22ClNO2</t>
  </si>
  <si>
    <t>MACKAY (2006) Second Edition. Hanbook Of Physical-Chemical Properties and Environmental Fate for Organic Chemicals - Valeur à 20°C</t>
  </si>
  <si>
    <t>MACKAY (2006) second edition. Handbook of Physical-Chemical Properties and Environmental Fate for Organic Chemicals. Moyenne géométrique sur 14 valeurs</t>
  </si>
  <si>
    <t>OMS - DWGV (2011) - TDI de 3,5 µg/kg.j</t>
  </si>
  <si>
    <t>C9H11ClN2O2</t>
  </si>
  <si>
    <t>MACKAY (2006) Second Edition. Hanbook Of Physical-Chemical Properties and Environmental Fate for Organic Chemicals. Valeur à 20°C-  Idem HSDB</t>
  </si>
  <si>
    <t>HSDB - TOXNET- Valeur à 20°C</t>
  </si>
  <si>
    <t>MACKAY (2006) second edition. Handbook of Physical-Chemical Properties and Environmental Fate for Organic Chemicals. Moyenne géométrique sur 11 valeurs.</t>
  </si>
  <si>
    <t>MACKAY (2006) second edition. Handbook of Physical-Chemical Properties and Environmental Fate for Organic Chemicals. Moyenne géométrique sur 31 valeurs.</t>
  </si>
  <si>
    <t>MACKAY (2006) Second Edition. Hanbook Of Physical-Chemical Properties and Environmental Fate for Organic Chemicals. Valeur à 20°C- Idem ATSDR, HSDB</t>
  </si>
  <si>
    <t>MACKAY (2006) Second Edition. Hanbook Of Physical-Chemical Properties and Environmental Fate for Organic Chemicals. Valeur à 20°C. Idem HSDB, ATSDR</t>
  </si>
  <si>
    <t>MACKAY (2006) second edition. Handbook of Physical-Chemical Properties and Environmental Fate for Organic Chemicals. Moyenne géométrique sur X valeurs.</t>
  </si>
  <si>
    <t>HSDB - TOXNET</t>
  </si>
  <si>
    <t>ATSDR (2001)</t>
  </si>
  <si>
    <t>US EPA - IRIS (2010) - Oral slope Factor de 0,4 (mg/kg.j)-1- calcul : 10-5 / 0,4</t>
  </si>
  <si>
    <t>OEHHA (2011) - Inhlation Unit Risk de 5,1.10-6 (µg/m3)---&gt; calcul : 10-5 / 0,0000051</t>
  </si>
  <si>
    <t xml:space="preserve"> C10H19N5S </t>
  </si>
  <si>
    <t>Lide (2009-2010). CRC Handbook of Chemistry and Physics. David R. Lide Editor-in-Chief 90th Edition 2009-2010.température à 20 °C- idem Mackay et Verschueren</t>
  </si>
  <si>
    <t>MACKAY  (2006) second edition, Handbook of Physical-Chemical Properties and Environmental Fate for Organic Chemicals. Valeur à 20°C</t>
  </si>
  <si>
    <t>MACKAY (2006) second edition. Handbook of Physical-Chemical Properties and Environmental Fate for Organic Chemicals. Moyenne géométrique sur 16 valeurs.</t>
  </si>
  <si>
    <t>MACKAY (2006) second edition. Handbook of Physical-Chemical Properties and Environmental Fate for Organic Chemicals. Moyenne géométrique sur 33 valeurs.</t>
  </si>
  <si>
    <t>HSDB-TOXNET - idem Mackay</t>
  </si>
  <si>
    <t>C11H14ClNO</t>
  </si>
  <si>
    <t>MACKAY  (2006) second edition, volume 4  Handbook of Physical-Chemical Properties and Environmental Fate for Organic Chemicals. Valeur à 20°C</t>
  </si>
  <si>
    <t>MACKAY (2006) second edition. Handbook of Physical-Chemical Properties and Environmental Fate for Organic Chemicals. Moyenne géométrique sur 10 valeurs.</t>
  </si>
  <si>
    <t>C9H9Cl2NO</t>
  </si>
  <si>
    <t>MACKAY (2006) second edition.Handbook of Physical-Chemical Properties and Environmental Fate for Organic Chemicals. Valeur à 20°C. Idem Lide</t>
  </si>
  <si>
    <t>MACKAY (2006) second edition. Handbook of Physical-Chemical Properties and Environmental Fate for Organic Chemicals. Pas de valeur/équation à 10°C- Valeur à 20°C</t>
  </si>
  <si>
    <t>MACKAY (2006) second edition. Handbook of Physical-Chemical Properties and Environmental Fate for Organic Chemicals. Moyenne géométrique sur 5 valeurs.</t>
  </si>
  <si>
    <t>ne se dissocie pas (IUPAC)</t>
  </si>
  <si>
    <t>US EPA - IRIS (1988)</t>
  </si>
  <si>
    <t>C9H16ClN5</t>
  </si>
  <si>
    <t>Lide (2000). Handbook of Chemistry and Physics. 81th Edition. 2000-2001. CRC Press, New York. - Valeur à 20°C</t>
  </si>
  <si>
    <t>MACKAY (2006) second edition. Handbook of Physical-Chemical Properties and Environmental Fate for Organic Chemicals. Moyenne géométrique sur 12 valeurs.</t>
  </si>
  <si>
    <t>MACKAY (2006) second edition. Handbook of Physical-Chemical Properties and Environmental Fate for Organic Chemicals. Moyenne géométrique sur 38 valeurs.</t>
  </si>
  <si>
    <t xml:space="preserve">MACKAY (2006) second edition.Handbook of Physical-Chemical Properties and Environmental Fate for Organic Chemicals. </t>
  </si>
  <si>
    <t>Valeurs du TPHCGW (Table 7 ; Volume 3, 1997)</t>
  </si>
  <si>
    <t>C7H12ClN5</t>
  </si>
  <si>
    <t>MACKAY (2006) second edition. Handbook of Physical-Chemical Properties and Environmental Fate for Organic Chemicals. Valeur de solubilité valable pour 20°C</t>
  </si>
  <si>
    <t>MACKAY (2006) second edition.Handbook of Physical-Chemical Properties and Environmental Fate for Organic Chemicals. Valeur à 20°C</t>
  </si>
  <si>
    <t>MACKAY (2006) second edition. Handbook of Physical-Chemical Properties and Environmental Fate for Organic Chemicals. Moyenne géométrique sur 24 valeurs.</t>
  </si>
  <si>
    <t>MACKAY (2006) second edition. Handbook of Physical-Chemical Properties and Environmental Fate for Organic Chemicals. Moyenne géométrique sur 47 valeurs.</t>
  </si>
  <si>
    <t>MACKAY (2006) second edition. Handbook of Physical-Chemical Properties and Environmental Fate for Organic Chemicals</t>
  </si>
  <si>
    <t>OMS- DWGV (2011) - TDI de 0,52 µg/kg.j</t>
  </si>
  <si>
    <t>HSDB - TOXNET (à 20°C)</t>
  </si>
  <si>
    <t>very weak base (HSDB)</t>
  </si>
  <si>
    <t>OMS-DWGV (2011) - TDI de 2,2 µg/kg.j</t>
  </si>
  <si>
    <t>C10H19N5S</t>
  </si>
  <si>
    <t>MACKAY (2006) second edition. Handbook of Physical-Chemical Properties and Environmental Fate for Organic Chemicals. Valeur à 20°C</t>
  </si>
  <si>
    <t>MACKAY second edition, Handbook of Physical-Chemical Properties and Environmental Fate for Organic Chemicals. Valeur à 20°C</t>
  </si>
  <si>
    <t>MACKAY (2006) second edition. Handbook of Physical-Chemical Properties and Environmental Fate for Organic Chemicals. Moyenne géométrique sur 14 valeurs.</t>
  </si>
  <si>
    <t>MACKAY (2006) second edition. Handbook of Physical-Chemical Properties and Environmental Fate for Organic Chemicals. Moyenne géométrique sur 23 valeurs.</t>
  </si>
  <si>
    <t>MACKAY (2006) second edition. Handbook of Physical-Chemical Properties and Environmental Fate for Organic Chemicals. Idem HSDB</t>
  </si>
  <si>
    <t>C14H8Cl4</t>
  </si>
  <si>
    <t>MACKAY second edition, volume IV. Handbook of Physical-Chemical Properties and Environmental Fate for Organic Chemicals. Valeur de solubilité valable pour 20-25°C</t>
  </si>
  <si>
    <t>MACKAY second edition, volume IV. Handbook of Physical-Chemical Properties and Environmental Fate for Organic Chemicals. La valeur de Vp  à 10°C estimée à partir de l'équation de Passivirta et al. (1999), range de températures non précisé</t>
  </si>
  <si>
    <t>MACKAY second edition, volume IV. Handbook of Physical-Chemical Properties and Environmental Fate for Organic Chemicals. Moyenne géométrique de 15 valeurs</t>
  </si>
  <si>
    <t>MACKAY second edition, volume IV. Handbook of Physical-Chemical Properties and Environmental Fate for Organic Chemicals. Moyenne géométrique de 5 valeurs</t>
  </si>
  <si>
    <t>US EPA-IRIS, 1988</t>
  </si>
  <si>
    <t>MACKAY second edition, volume IV. Handbook of Physical-Chemical Properties and Environmental Fate for Organic Chemicals. Valeur de solubilité valable pour 20°C</t>
  </si>
  <si>
    <t>MACKAY second edition, volume IV. Handbook of Physical-Chemical Properties and Environmental Fate for Organic Chemicals. La valeur de Vp  à 10°C mesurée par MacLchlin et al. (1990)</t>
  </si>
  <si>
    <t>MACKAY second edition, volume IV. Handbook of Physical-Chemical Properties and Environmental Fate for Organic Chemicals. Moyenne géométrique de 18 valeurs</t>
  </si>
  <si>
    <t>MACKAY second edition, volume IV. Handbook of Physical-Chemical Properties and Environmental Fate for Organic Chemicals. Moyenne géométrique de 7 valeurs</t>
  </si>
  <si>
    <t>C14H9Cl</t>
  </si>
  <si>
    <t>MACKAY second edition, volume IV. Handbook of Physical-Chemical Properties and Environmental Fate for Organic Chemicals. La valeur de Vp  à 10°C estimée à partir de l'équation de Passivirta , range de températures non précisé et équation d'Antoine utilisée par Wania et al. (1994),  valable pour un range de températures de 0-40°C</t>
  </si>
  <si>
    <t>MACKAY second edition, volume IV. Handbook of Physical-Chemical Properties and Environmental Fate for Organic Chemicals. Moyenne géométrique de 36 valeurs</t>
  </si>
  <si>
    <t>MACKAY second edition, volume IV. Handbook of Physical-Chemical Properties and Environmental Fate for Organic Chemicals. Moyenne géométrique de 41 valeurs</t>
  </si>
  <si>
    <t>US EPA-IRIS, 1987</t>
  </si>
  <si>
    <t>US EPA-IRIS, 1987 - valeur de 0,34 (mg/kg.jr)-1</t>
  </si>
  <si>
    <t>C6H6Cl6</t>
  </si>
  <si>
    <t>MACKAY second edition, volume IV. Handbook of Physical-Chemical Properties and Environmental Fate for Organic Chemicals. Valeur de solubilité valable pour 20°C de Kanazawa et al. (1971) et Brooks (1974)</t>
  </si>
  <si>
    <t>MACKAY second edition, volume IV. Handbook of Physical-Chemical Properties and Environmental Fate for Organic Chemicals. La valeur de Vp  à 10°C par Balson (1947)</t>
  </si>
  <si>
    <t>MACKAY second edition, volume IV. Handbook of Physical-Chemical Properties and Environmental Fate for Organic Chemicals. Moyenne géométrique de 9 valeurs</t>
  </si>
  <si>
    <t>US EPA-IRIS, 1987 - valeur de 1,8 (mg/kg.jr)-1</t>
  </si>
  <si>
    <t>US EPA-IRIS 1987 - valeur de 0,53 (mg/m³)-1</t>
  </si>
  <si>
    <t>Mackay, 2006 - Volume IV
Valeur à 15 °C par OECD (1981)</t>
  </si>
  <si>
    <t>MACKAY second edition, volume IV. Handbook of Physical-Chemical Properties and Environmental Fate for Organic Chemicals. La valeur de Vp  à 20-25°C par Wauchope et al. (1992)</t>
  </si>
  <si>
    <t>MACKAY second edition, volume IV. Handbook of Physical-Chemical Properties and Environmental Fate for Organic Chemicals. Moyenne géométrique de 13 valeurs - Log Kow = 2,81  (HSDB, INERIS, Verschueren)</t>
  </si>
  <si>
    <t>MACKAY second edition, volume IV. Handbook of Physical-Chemical Properties and Environmental Fate for Organic Chemicals. Moyenne géométrique de 39 valeurs</t>
  </si>
  <si>
    <t>MACKAY second edition, volume IV. Handbook of Physical-Chemical Properties and Environmental Fate for Organic Chemicals. médiane entre 6 valeurs</t>
  </si>
  <si>
    <t>acide fort, IUPAC</t>
  </si>
  <si>
    <t>C9H8Cl2O3</t>
  </si>
  <si>
    <t>Mackay, 2006 - Volume IV
Valeur à 20°C par Worthing &amp; Walker (1987, 1991)</t>
  </si>
  <si>
    <t>MACKAY second edition, volume IV. Handbook of Physical-Chemical Properties and Environmental Fate for Organic Chemicals. La valeur de Vp  à 20°C par Hartley &amp; Kidd (1987)</t>
  </si>
  <si>
    <t>MACKAY second edition, volume IV. Handbook of Physical-Chemical Properties and Environmental Fate for Organic Chemicals. Moyenne géométrique de 4 valeurs - Log Kow = 3,43  (HSDB)</t>
  </si>
  <si>
    <t>MACKAY second edition, volume IV. Handbook of Physical-Chemical Properties and Environmental Fate for Organic Chemicals. pKa = 3 (IUPAC, HSDB)</t>
  </si>
  <si>
    <t>OMS, 1993 (guideline 4th edition, 2011)</t>
  </si>
  <si>
    <t>C9H9ClO3</t>
  </si>
  <si>
    <t>MACKAY second edition, volume IV. Handbook of Physical-Chemical Properties and Environmental Fate for Organic Chemicals.</t>
  </si>
  <si>
    <t>Mackay, 2006 - Volume IV
Valeur à 20°C par Melnikov (1971)</t>
  </si>
  <si>
    <t>MACKAY second edition, volume IV. Handbook of Physical-Chemical Properties and Environmental Fate for Organic Chemicals. La valeur de Vp  à 20°C par Hartley &amp; Kidd (1987) et Milne (1995)</t>
  </si>
  <si>
    <t>MACKAY second edition, volume IV. Handbook of Physical-Chemical Properties and Environmental Fate for Organic Chemicals. Médiane de 8 valeurs car valeurs de log Kow négatives  - Log Kow = 3,25  (HSDB)</t>
  </si>
  <si>
    <t>MACKAY second edition, volume IV. Handbook of Physical-Chemical Properties and Environmental Fate for Organic Chemicals. médiane entre 4 valeurs</t>
  </si>
  <si>
    <t>pas d'information sur IUPAC, mais terminaison OOH de la molécule</t>
  </si>
  <si>
    <t>C10H11ClO3</t>
  </si>
  <si>
    <t>Mackay, 2006 - Volume IV
Valeur à 20°C par Hartley &amp; Kidd (1987), Worthing &amp; Wlaker (1987), Worthing &amp; Hance (1991)</t>
  </si>
  <si>
    <t>MACKAY second edition, volume IV. Handbook of Physical-Chemical Properties and Environmental Fate for Organic Chemicals. La valeur de Vp  à 20°C par Worthing &amp; Hance (1991)</t>
  </si>
  <si>
    <t>MACKAY second edition, volume IV. Handbook of Physical-Chemical Properties and Environmental Fate for Organic Chemicals. Valeur recommandée par Mackay et proposée par HSDB car moyenne géométrique de 6 valeurs égale à 0,997</t>
  </si>
  <si>
    <t>MACKAY second edition, volume IV. Handbook of Physical-Chemical Properties and Environmental Fate for Organic Chemicals. Moyenne géométrique de 3 valeurs</t>
  </si>
  <si>
    <t>MACKAY second edition, volume IV. Handbook of Physical-Chemical Properties and Environmental Fate for Organic Chemicals. pKa = 3,11 (IUPAC, HSDB, INERIS)</t>
  </si>
  <si>
    <t>acide faible, IUPAC</t>
  </si>
  <si>
    <t>US EPA IRIS, 1989</t>
  </si>
  <si>
    <t>C12H21N2O3PS</t>
  </si>
  <si>
    <t>Mackay, 2006 - Volume IV
Valeur à 20°C par Hartley &amp; Kidd (1987), Worthing &amp; Hance (1991), Tomlin (1994), Milne (1995)</t>
  </si>
  <si>
    <t>MACKAY second edition, volume IV. Handbook of Physical-Chemical Properties and Environmental Fate for Organic Chemicals. La valeur de Vp  à 20°C par Hartley &amp; Graham-Bryce  (1980)</t>
  </si>
  <si>
    <t>MACKAY second edition, volume IV. Handbook of Physical-Chemical Properties and Environmental Fate for Organic Chemicals. Moyenne géométrique de 14 valeurs</t>
  </si>
  <si>
    <t>MACKAY second edition, volume IV. Handbook of Physical-Chemical Properties and Environmental Fate for Organic Chemicals. Moyenne géométrique de 19 valeurs</t>
  </si>
  <si>
    <t>IUPAC</t>
  </si>
  <si>
    <t>US EPA IRIS, 2006</t>
  </si>
  <si>
    <t>ATSDR, 2008 (MRL inhale intermédiaire)</t>
  </si>
  <si>
    <t>C14H20ClNO2</t>
  </si>
  <si>
    <t>Lide (2009-2010)</t>
  </si>
  <si>
    <t>PPDB (Pesticides Properties DataBase)- Valeur à 20 °C</t>
  </si>
  <si>
    <t>PPDB (Pesticides Properties DataBase) - Valeur à 25 °C - Même valeur indiquée à 20°C dans HSDB</t>
  </si>
  <si>
    <t>PPDB - idem RSL (US-EPA)</t>
  </si>
  <si>
    <t>PPDB (Pesticides Properties DataBase) et HSDB</t>
  </si>
  <si>
    <t>Calcul fait à partir de la loi de Karickhoff : Koc = 0,411 x Kow</t>
  </si>
  <si>
    <t xml:space="preserve"> EFSA (EU pesticides database)- A noter pesticide "not approved by EU". Autre valeur : 0,02 par US-EPA (dernière révision 1993)</t>
  </si>
  <si>
    <t>C12H12N2</t>
  </si>
  <si>
    <t>PPDB (Pesticides properties DataBase) - Valeur à 20°C . Cohérent avec Mackay (2006) - 700 000 mg/L à 25 °C citée 4 fois</t>
  </si>
  <si>
    <t>PPDB (Pesticides Properties DataBase) - Valeur à 25 °C</t>
  </si>
  <si>
    <t>RSL (US-EPA)</t>
  </si>
  <si>
    <t>PPDB (Pesticides Properties DataBase) - aussi citée 2 fois dans Mackay (2006)</t>
  </si>
  <si>
    <t>Mackay (2006) - Deux valeurs cohérentes : 0,420 et 0,425</t>
  </si>
  <si>
    <t>Commission Européenne (EU pesticides database) - pesticide "approved by EU". valeur pour le diquat dibromide- évaluation Commission</t>
  </si>
  <si>
    <t>C12H14N2</t>
  </si>
  <si>
    <t>PPDB (Pesticides Properties DataBase)- Valeur à 20 °C - Idem valeur HSDB</t>
  </si>
  <si>
    <t>PPDB</t>
  </si>
  <si>
    <t>PPDB (Pesticides Properties DataBase)- Valeur proche HSDB : -4,22</t>
  </si>
  <si>
    <t xml:space="preserve">Commission Européenne (EU pesticides database) - A noter pesticide "not approved by EU". Autre valeur : 4,5.10-3 (US-EPA, 1987) </t>
  </si>
  <si>
    <t>C3H8NO5P</t>
  </si>
  <si>
    <t>PPDB (Pesticides Properties DataBase)- Valeur à 20 °C - Cohérence avec valeurs à 25°C dans HSDB, Lide et Mackay (10000 - 12000 mg/L)</t>
  </si>
  <si>
    <t>Mackay (2006)- Valeur à 25°C (cohérent avec HSDB et PPDB qui proposent 1,30.10-5 Pa à 25°C)</t>
  </si>
  <si>
    <t>Mackay (2006) - Moyenne géométrique sur 7 valeurs- Valeurs HSDB (-3,4) et PPDB (-3,2)</t>
  </si>
  <si>
    <t>Mackay (2006) - Moyenne géométrique sur 6 valeurs</t>
  </si>
  <si>
    <t>US-EPA (dernière révision 1987)- Autre valeur : 0,3 mg/kg.j par l'EFSA (EU Pesticides database). A noter "pesticide approved by EU"</t>
  </si>
  <si>
    <t>C17H21NO2</t>
  </si>
  <si>
    <t xml:space="preserve"> Lide (2009-2010)</t>
  </si>
  <si>
    <t>Mackay (2006). Valeur à 20°C- Valeur idem Verchueren et HSDB, très proche de PPDB (74 mg/L)</t>
  </si>
  <si>
    <t>Mackay (2006). Valeur à 20°C-25°C - Très proche de HSDB (2,3.10-5 Pa) et identique à PPDB</t>
  </si>
  <si>
    <t>Mackay (2006). Moyenne géométrique sur 4 valeurs - valeurs HSDB (3,36) et PPDB (3,3)</t>
  </si>
  <si>
    <t>Mackay (2006). Moyenne géométrique sur 12 valeurs</t>
  </si>
  <si>
    <t>EFSA (EU Pesticides database) -  A noter pesticide "approved by EU". VTR de l'US-EPA retirée de la BD en juillet 2016</t>
  </si>
  <si>
    <t>C11H23NOS</t>
  </si>
  <si>
    <t>Mackay (2006)- Valeur à 20 °C. Très proche de HSDB et de PPDB : 45 mg/L</t>
  </si>
  <si>
    <t>Mackay (2006)- Valeur la plus élevée à 20°C.</t>
  </si>
  <si>
    <t>PPDB - proche valeur RSL (US-EPA)</t>
  </si>
  <si>
    <t>Mackay (2006). Moyenne géométrique sur 5 valeurs - Autres valeurs HSDB (4,15) et PPDB (4,1)</t>
  </si>
  <si>
    <t>Mackay (2006). Moyenne géométrique sur 8 valeurs</t>
  </si>
  <si>
    <t>US-EPA (dernière révision 1994) - A noter pesticide "not approved by EU"</t>
  </si>
  <si>
    <t>C9H17NOS</t>
  </si>
  <si>
    <t>Mackay (2006). Valeur à 20°C - Citée 2 fois + idem / proche valeur HSDB (970), Verschueren (880), PPDB (1100)</t>
  </si>
  <si>
    <t>Mackay (2006). Valeur à 20°C. Idem / proche valeur HSDB (0,746), PPDB (0,500)</t>
  </si>
  <si>
    <t>Mackay et al., 2006 - proche valeur RSL (US-EPA)</t>
  </si>
  <si>
    <t>Mackay (2006). Moyenne géométrique sur 9 valeurs - Autres valeurs HSDB (3,21) et PPDB (2,86)</t>
  </si>
  <si>
    <t>Mackay (2006). Moyenne géométrique sur 13 valeurs</t>
  </si>
  <si>
    <t>US-EPA (dernière révision 1988) et OMS (TDI, 1993)- Autre valeur : 0,008 mg/kg.j par la Commission Européenne - A noter pesticide "not approved by EU"</t>
  </si>
  <si>
    <t>C14H21NOS</t>
  </si>
  <si>
    <t>PPDB (Pesticides Properties DataBase)</t>
  </si>
  <si>
    <t>PPDB (Pesticides Properties DataBase)- Valeur à 20°C</t>
  </si>
  <si>
    <t>PPDB (Pesticides Properties DataBase) - Valeur à 25°C</t>
  </si>
  <si>
    <t>PPDB - 1 seule données disponible</t>
  </si>
  <si>
    <t>EFSA (EU Pesticides database) - A noter pesticide " approved by EU"</t>
  </si>
  <si>
    <t>C10H21NOS</t>
  </si>
  <si>
    <t xml:space="preserve">Mackay (2006). Valeur à 20°C. valeur Idem HSDB, Verschueren et PPDB </t>
  </si>
  <si>
    <t>Mackay (2006). Valeur à 20°C. Autres valeurs : 1,38 et 1,39 Pa à 25°C pour HSDB et PPDB respectivement</t>
  </si>
  <si>
    <t>Mackay (2006). Moyenne géométrique sur 4 valeurs- Idem HSDB et PPDB</t>
  </si>
  <si>
    <t>Mackay (2006). Moyenne géométrique sur 9 valeurs</t>
  </si>
  <si>
    <t>US-EPA (dernière révision 1987) - A noter pesticide " not approved by EU"</t>
  </si>
  <si>
    <t>C2H4Cl2</t>
  </si>
  <si>
    <t>C6H8N2O9</t>
  </si>
  <si>
    <t>US-EPA, 2016</t>
  </si>
  <si>
    <t>C3H5N3O9</t>
  </si>
  <si>
    <t>C7H7ClO</t>
  </si>
  <si>
    <t>1) le code VL renvoie vers les onglets "valeurs limites (VL)"</t>
  </si>
  <si>
    <t>ces références spécifiques renvoient vers l'onglet "VL - PNN sans VL"</t>
  </si>
  <si>
    <t>Cette base de données se veut évolutive et tient compte des retours d'expérience des experts. Une veille scientifique est également programmée pour cette base de données, avec une réévaluation des hypothèses de calcul: paramètres physico-chimiques, valeurs toxicologiques de référence, modèles, ...</t>
  </si>
  <si>
    <t>En cas de questions/remarques, ces dernières peuvent être adressées à Thomas Lambrechts (thomas.lambrechts@spw.wallonie.be)</t>
  </si>
  <si>
    <t>VLnappe-volatilisation (µg/L)</t>
  </si>
  <si>
    <t>regional screening levels (US-EPA)</t>
  </si>
  <si>
    <t>1e approche : considérer les valeurs limites calculées pour le 2-propanol</t>
  </si>
  <si>
    <t>C5H8N4O12</t>
  </si>
  <si>
    <t>calculé à partir de Log Kow = 2.38 (HSDB) avec loi de Karickhoff</t>
  </si>
  <si>
    <t>C10H14</t>
  </si>
  <si>
    <t>mackay et al., 2006 (moyenne géométrique de 6 valeurs)</t>
  </si>
  <si>
    <t>C12H9N</t>
  </si>
  <si>
    <t>C12H8N</t>
  </si>
  <si>
    <t>calculé à partir de Log Kow = 4.12 (HSDB) avec loi de Karickhoff</t>
  </si>
  <si>
    <t>C12H11NO2</t>
  </si>
  <si>
    <t>Mackay et al., 2006 (moyenne géométrique de 4 valeurs)</t>
  </si>
  <si>
    <t>calculé à partir de Log Kow = 4.11 (Mackay) avec loi de Karickhoff</t>
  </si>
  <si>
    <t>C7H5Cl2FN2O3</t>
  </si>
  <si>
    <t>calculé à partir de Log Kow = 1.51 (HSDB) avec loi de Karickhoff</t>
  </si>
  <si>
    <t>calculé à partir de Log Kow = 2.20 (HSDB) avec loi de Karickhoff</t>
  </si>
  <si>
    <t>motif absence VLN</t>
  </si>
  <si>
    <t>pas de Kd, calcul VLN impossible</t>
  </si>
  <si>
    <t>pas de VTR, pas de Vlnappe --&gt; calcul VLH et VLN impossibles</t>
  </si>
  <si>
    <t>composés présents dans les eaux sous forme d'ions --&gt; pas de VLN</t>
  </si>
  <si>
    <t>pas de log Kow, pas de constante de Henry --&gt; calcul VLN impossible</t>
  </si>
  <si>
    <t>pas de constante de Henry --&gt; calcul VLN impossible</t>
  </si>
  <si>
    <t>composé insoluble, pas de constante de Henry --&gt; calcul VLN impossible</t>
  </si>
  <si>
    <t>les VLH des 7 PCB de Ballschmiter ont été calculées avec les paramètres physicochimiques spécifiques à chaque congénère PCB, mais avec des VTR établies pour le mélange des 7 PCB. La VLH retenue pour la somme de 7 congénères est la plus stricte des 7 VLH calculées.</t>
  </si>
  <si>
    <t>un polluant est considéré comme volatil s'il présente une pression de vapeur à 20 °C supérieure à 10-1 Pa</t>
  </si>
  <si>
    <t>°C</t>
  </si>
  <si>
    <t>20-25</t>
  </si>
  <si>
    <t>non déterminée</t>
  </si>
  <si>
    <t xml:space="preserve">non déterminée </t>
  </si>
  <si>
    <t>en première approche - se rapporter aux valeurs seuils calculées pour les chlorophénols</t>
  </si>
  <si>
    <t>à 20°C, Fiche INERIS</t>
  </si>
  <si>
    <t>Mackay, moyenne géométrique de 2 valeurs</t>
  </si>
  <si>
    <r>
      <t>OEHHA 2009 - Oral slope factor égal à 5,7.10</t>
    </r>
    <r>
      <rPr>
        <vertAlign val="superscript"/>
        <sz val="9"/>
        <rFont val="Verdana"/>
        <family val="2"/>
      </rPr>
      <t>-3</t>
    </r>
    <r>
      <rPr>
        <sz val="9"/>
        <rFont val="Verdana"/>
        <family val="2"/>
      </rPr>
      <t xml:space="preserve"> (mg/kg.j)</t>
    </r>
    <r>
      <rPr>
        <vertAlign val="superscript"/>
        <sz val="9"/>
        <rFont val="Verdana"/>
        <family val="2"/>
      </rPr>
      <t>-1</t>
    </r>
  </si>
  <si>
    <r>
      <t>OEHHA 2009 - Inhalation Unit Risk égal à 1,6.10</t>
    </r>
    <r>
      <rPr>
        <vertAlign val="superscript"/>
        <sz val="9"/>
        <rFont val="Verdana"/>
        <family val="2"/>
      </rPr>
      <t>-3</t>
    </r>
    <r>
      <rPr>
        <sz val="9"/>
        <rFont val="Verdana"/>
        <family val="2"/>
      </rPr>
      <t xml:space="preserve"> (mg/m3)</t>
    </r>
    <r>
      <rPr>
        <vertAlign val="superscript"/>
        <sz val="9"/>
        <rFont val="Verdana"/>
        <family val="2"/>
      </rPr>
      <t>-1</t>
    </r>
  </si>
  <si>
    <t>à définir</t>
  </si>
  <si>
    <t xml:space="preserve">référence "à définir" : aucune donnée pour les méthodes d'analyse n'est reprise pour ce PNN dans cette version de la base de données </t>
  </si>
  <si>
    <t>fonctions chimiques dans les solvants polaires: alcools cétones aldéhydes (Certains composés de la famille I 1 peuvent présenter des propriétés pouvant les rattacher à la famille A)</t>
  </si>
  <si>
    <t>Le présent fichier constitue la « base de données des polluants non normés » mise à disposition par l’administration à destination des experts agréés en gestion des sols pollués.</t>
  </si>
  <si>
    <t>Vous trouverez dans ce fichier des valeurs limites définies pour toute une série de polluants non repris dans l'annexe 1 du décret Sols (PNN - polluant non normé). Ces valeurs limites ont été élaborées conformément à l'Art 8 du décret sols, sur base des avis des organes désignés par le Gouvernement wallon, à savoir la SPAQuE et l'ISSeP. La base de données reprend également des recommandations en termes de méthodes de prélèvement et d'analyse.</t>
  </si>
  <si>
    <t>Coélution des 2,4- et 2,5-Dichlorophenol. La somme des isomères est déterminée. Séparation complète des isomères dans des conditions opératoires particulières.</t>
  </si>
  <si>
    <t>121-69-7</t>
  </si>
  <si>
    <t>91-66-7</t>
  </si>
  <si>
    <t>613-97-8</t>
  </si>
  <si>
    <t>95-53-4</t>
  </si>
  <si>
    <t>7440-55-3</t>
  </si>
  <si>
    <t>C₆H₅N(CH₃)₂</t>
  </si>
  <si>
    <t>2-(CH₃)C₆H₄NH₂</t>
  </si>
  <si>
    <t>Mackay (2006), HSDB, Verchueren (1996), PHYSPROP</t>
  </si>
  <si>
    <t>Mackay (2006), HSDB, Verchueren (1996)</t>
  </si>
  <si>
    <t>MACKAY (2006). Valeur EXP</t>
  </si>
  <si>
    <t>HSDB, PHYSPROP - Valeur de 0,70 mmHg à 25 °C (EXP)</t>
  </si>
  <si>
    <t>HSDB, PHYSPROP - Valeur de 0,26 mmHg à 25 °C (EXP)</t>
  </si>
  <si>
    <t>Mackay (2006), HSDB, Verchueren, PHYSPROP (EXP)</t>
  </si>
  <si>
    <t>Mackay (2006) - Moy géométrique de 3 valeurs (EXP)</t>
  </si>
  <si>
    <t>Mackay (2006) - (Calculated)</t>
  </si>
  <si>
    <t>Mackay (2006)- valeur très proche dans HSDB, PHYSPROP</t>
  </si>
  <si>
    <t>HSDB, PHYSPROP. Idem  Mackay (2006) - avec moyenne géométrique de 6 valeurs</t>
  </si>
  <si>
    <t>acide</t>
  </si>
  <si>
    <t>US-EPA (IRIS) - étude de gavage sur souris (1984) - dernière révision EPA 1987</t>
  </si>
  <si>
    <t>OEHHA - étude de gavage sur souris et rats (1979) - Oral Slope Factor  de 1,8.10-1 (mg/kg.j)-1</t>
  </si>
  <si>
    <t>OEHHA - étude de gavage sur souris et rats (1979) - Inhalation Unit Risk  de 5,1.10-5 (µg/m3)-1 dérivé de l'Oral Slope Factor</t>
  </si>
  <si>
    <t>HSDB, PHYSPROP</t>
  </si>
  <si>
    <t>Mackay (2006), HSDB, PHYSPROP</t>
  </si>
  <si>
    <t>pas de VTR --&gt; calcul VLH et VLN impossibles</t>
  </si>
  <si>
    <t>considérer les valeurs limites relatives au DEHP, molécule la plus couramment utilisée dans la famille des phtalates, valeurs limites plus sécuritaires</t>
  </si>
  <si>
    <t>se rapporter aux valeurs limites du diméthylaniline (N,N-) en première approche</t>
  </si>
  <si>
    <t>96-76-4</t>
  </si>
  <si>
    <t>57-10-3</t>
  </si>
  <si>
    <t>out 21</t>
  </si>
  <si>
    <t>out 22</t>
  </si>
  <si>
    <t>57-11-4</t>
  </si>
  <si>
    <t>111-02-4</t>
  </si>
  <si>
    <t>out 23</t>
  </si>
  <si>
    <t>produit de la vie courante, les études toxicologiques actuelles ne statuent pas sur la toxicité de ce paramètre
acide gras saturé commun trouvé dans les graisses incluant l'huile d'olive, le beurre, le fromage,… : fabrication des margarines et des savons durs, aliment énergétique, industrie pharmaceutique</t>
  </si>
  <si>
    <t>produit de la vie courante, les études toxicologiques actuelles ne statuent pas sur la toxicité de ce paramètre
acide gras saturé, abondant dans toutes les graisses animales :  fabrication des huiles, bougies, savons</t>
  </si>
  <si>
    <t>produit de la vie courante, les études toxicologiques actuelles ne statuent pas sur la toxicité de ce paramètre
triterpène, lipide naturellement produit par tous les organismes supérieurs (notamment dans le sébum humain), présent dans l'huile de foie de requin, dans l'huile d'olive ; Utilisé en cosmétologie comme agent pénétrant dans les crèmes hydratantes, en pharmaceutique comme adjuvant dans les vaccins, comme complément alimentaire</t>
  </si>
  <si>
    <t>o-toluidine</t>
  </si>
  <si>
    <t>767-58-8</t>
  </si>
  <si>
    <t>1587-04-8</t>
  </si>
  <si>
    <t>135-01-3</t>
  </si>
  <si>
    <t>119-64-2</t>
  </si>
  <si>
    <t>527-53-7</t>
  </si>
  <si>
    <t>95-93-2</t>
  </si>
  <si>
    <t>1560-06-1</t>
  </si>
  <si>
    <t>934-80-5</t>
  </si>
  <si>
    <t>394-33-2</t>
  </si>
  <si>
    <t>1-methylindan</t>
  </si>
  <si>
    <t>1,2-diethylbenzene</t>
  </si>
  <si>
    <t xml:space="preserve">1,2,3,5-tetramethylbenzene </t>
  </si>
  <si>
    <t xml:space="preserve">4-fluoro-2-nitrophenol </t>
  </si>
  <si>
    <t xml:space="preserve">1,2,4,5-tetramethylbenzene </t>
  </si>
  <si>
    <t>composé phénolique moyennement soluble: en première approche, une comparaison avec les normes du phénol (annexe 1 décret sols) peut être envisagée</t>
  </si>
  <si>
    <t>108-20-3</t>
  </si>
  <si>
    <t>di-isopropylether (DIPE)</t>
  </si>
  <si>
    <t xml:space="preserve">en première approche, étant donné que les propriétés du DIPE sont assez similaires à celle du MTBE (Annexe1 décret sols), une comparaison peut être faite avec la VSH du MTBE. En cas de dépassement, une EDR-SH peut être réalisée en tenant compte des propriétés du DIPE et des VTR du MTBE.
En ce qui concerne la VLN, sur base d'un même raisonnement, cette VLN peut être estimée selon la méthodologie du GRER avec les propriétés du MTBE et la VLnappe reprise ci-contre du 1500 µg/l. En cas de dépassement de cette VLN,  une VLN affinée peut être calculée en teant compte des propriétés du DIPE  </t>
  </si>
  <si>
    <t>VLH
usage II
[mg/kg MS]</t>
  </si>
  <si>
    <t>CALCUL DES VL AVEC RISC-HUMAN</t>
  </si>
  <si>
    <t>VLH "REC-dayout"
usage I
[mg/kg MS]</t>
  </si>
  <si>
    <t>VLH "AGR"
usage II
[mg/kg MS]</t>
  </si>
  <si>
    <t>VLH "RES-veg"
usage III
[mg/kg MS]</t>
  </si>
  <si>
    <t>VLH "REC-dayin"
usage IV
[mg/kg MS]</t>
  </si>
  <si>
    <t>VLH "REC-dayout"
usage IV
[mg/kg MS]</t>
  </si>
  <si>
    <t>VLH "IND-l"
usage IV
[mg/kg MS]</t>
  </si>
  <si>
    <t>VLH "IND-l"
usage V
[mg/kg MS]</t>
  </si>
  <si>
    <t>VLH "IND-h"
usage V
[mg/kg MS]</t>
  </si>
  <si>
    <t>102-83-2</t>
  </si>
  <si>
    <t>Calcul des VL avec SRISK APPLICATION I  (Buffer space = 0,75)</t>
  </si>
  <si>
    <t xml:space="preserve">Pour rappel, pour les PNN repris dans les fiches polluants de S-RISK, les données toxicologiques et physico-chimiques à prendre en compte sont celles reprises dans ces fiches </t>
  </si>
  <si>
    <r>
      <rPr>
        <b/>
        <sz val="10"/>
        <rFont val="Arial"/>
        <family val="2"/>
      </rPr>
      <t>Pression de vapeur P</t>
    </r>
    <r>
      <rPr>
        <sz val="10"/>
        <rFont val="Arial"/>
        <family val="2"/>
      </rPr>
      <t xml:space="preserve"> (ATTENTION : introduire "0" si pas de valeur pertinente)</t>
    </r>
  </si>
  <si>
    <t>Température prise en compte pour la solubilité Ts</t>
  </si>
  <si>
    <t>Température prise en compte pour la pression de vapeur Tp</t>
  </si>
  <si>
    <t>Température prise en compte pour la constante d'Henry Th</t>
  </si>
  <si>
    <t>PNN (nom ECHA)</t>
  </si>
  <si>
    <t>1,1,2,2-tetrachloroethane</t>
  </si>
  <si>
    <t>1,1-dichloroethane</t>
  </si>
  <si>
    <t>1,1-dichloroethylene</t>
  </si>
  <si>
    <t>1,2,3,4-tetrachlorobenzene</t>
  </si>
  <si>
    <t>1,2,3,5-tetrachlorobenzene</t>
  </si>
  <si>
    <t>1,2,3-trichlorobenzene</t>
  </si>
  <si>
    <t>1,2,4-trichlorobenzene</t>
  </si>
  <si>
    <t xml:space="preserve">1,2,3,4-tetrahydronaphthalene </t>
  </si>
  <si>
    <t>1,2,4,5-tetrachlorobenzene</t>
  </si>
  <si>
    <t>acronyme / autre nom usuel</t>
  </si>
  <si>
    <t>pseudocumene</t>
  </si>
  <si>
    <t>1,2,4-trimethylbenzene</t>
  </si>
  <si>
    <t>1,2-diaminotoluene, propoxylated</t>
  </si>
  <si>
    <t>1,2-dichlorobenzene</t>
  </si>
  <si>
    <t>1,3,5-trichlorobenzene</t>
  </si>
  <si>
    <t>1,3,5-trimethylbenzene</t>
  </si>
  <si>
    <t>1,3,5-trinitrobenzene</t>
  </si>
  <si>
    <t>1,3-dichlorobenzene</t>
  </si>
  <si>
    <t>1,4-dichlorobenzene</t>
  </si>
  <si>
    <t>1-allyl-2-methylbenzene</t>
  </si>
  <si>
    <t>n-propanol</t>
  </si>
  <si>
    <t>2,3,4,5-tetrachlorophenol</t>
  </si>
  <si>
    <t>2,3,4,6-tetrachlorophenol</t>
  </si>
  <si>
    <t>2,3,5,6-tetrachlorophenol</t>
  </si>
  <si>
    <t>2,3,5-trichlorophenol</t>
  </si>
  <si>
    <t>2,3,6-trichlorophenol</t>
  </si>
  <si>
    <t>2,3,7,8-TCDD</t>
  </si>
  <si>
    <t>2,3-dimethylphenol</t>
  </si>
  <si>
    <t>2,4,4-trimethylpentene</t>
  </si>
  <si>
    <t>2,4,5-trichlorophenol</t>
  </si>
  <si>
    <t>2,4,6-trichlorophenol</t>
  </si>
  <si>
    <t>TNT</t>
  </si>
  <si>
    <t>2,4,6-trinitrotoluene</t>
  </si>
  <si>
    <t>2,4-dichlorophenol</t>
  </si>
  <si>
    <t>2,4-dimethylphenol</t>
  </si>
  <si>
    <t>2,4-dinitrotoluene</t>
  </si>
  <si>
    <t>2,4-di-tert-butylphenol</t>
  </si>
  <si>
    <t>2,5-dichlorophenol</t>
  </si>
  <si>
    <t>2,5-dimethylphenol</t>
  </si>
  <si>
    <t>2,6-dichlorophenol</t>
  </si>
  <si>
    <t>2,6-dimethylphenol</t>
  </si>
  <si>
    <t>2,6-dinitrotoluene</t>
  </si>
  <si>
    <t>2-amino-4,6-dinitrotoluene</t>
  </si>
  <si>
    <t>MEK</t>
  </si>
  <si>
    <t>2-chlorophenol</t>
  </si>
  <si>
    <t>2-chlorotoluene</t>
  </si>
  <si>
    <t>2-ethylphenol</t>
  </si>
  <si>
    <t>3,4,5-trichlorophenol</t>
  </si>
  <si>
    <t>3,4-dichlorophenol</t>
  </si>
  <si>
    <t>3,4-dimethylphenol</t>
  </si>
  <si>
    <t>3,5-dichlorophenol</t>
  </si>
  <si>
    <t>3,5-dimethylphenol</t>
  </si>
  <si>
    <t>3-chlorophenol</t>
  </si>
  <si>
    <t>3-ethylphenol</t>
  </si>
  <si>
    <t>4-amino-2,6-dinitrotoluene</t>
  </si>
  <si>
    <t>4-chloro-3-methylphenol</t>
  </si>
  <si>
    <t>4-chlorophenol</t>
  </si>
  <si>
    <t>4-chlorotoluene</t>
  </si>
  <si>
    <t>4-ethyl-o-xylene</t>
  </si>
  <si>
    <t>4-ethyl-1,2-dimethylbenzene</t>
  </si>
  <si>
    <t>4-ethylphenol</t>
  </si>
  <si>
    <t>p-cymene</t>
  </si>
  <si>
    <t>4-isopropyltoluene</t>
  </si>
  <si>
    <t>4-nonylphenol</t>
  </si>
  <si>
    <t>o-diethylbenzene</t>
  </si>
  <si>
    <t>mesitylene</t>
  </si>
  <si>
    <t>butan-1-ol</t>
  </si>
  <si>
    <t>1-methylnaphthalene</t>
  </si>
  <si>
    <t>1-phenylbut-2-ene</t>
  </si>
  <si>
    <t>propan-1-ol</t>
  </si>
  <si>
    <t>2,3,7,8-tetrachlorodibenzo[b,e][1,4]dioxin</t>
  </si>
  <si>
    <t>2,3-xylenol</t>
  </si>
  <si>
    <t>2,4,4-trimethylpent-1-ene</t>
  </si>
  <si>
    <t>2,4,4-trimethylpent-2-ene</t>
  </si>
  <si>
    <t>2,4-dichlorophenoxyacetic acid</t>
  </si>
  <si>
    <t>dichlorprop</t>
  </si>
  <si>
    <t>2-(2,4-dichlorophenoxy) propionic acid</t>
  </si>
  <si>
    <t>2,4-xylenol</t>
  </si>
  <si>
    <t>2,5-xylenol</t>
  </si>
  <si>
    <t>2,6-xylenol</t>
  </si>
  <si>
    <t>butanone</t>
  </si>
  <si>
    <t>2-methylnaphthalene</t>
  </si>
  <si>
    <t>propan-2-ol</t>
  </si>
  <si>
    <t>isopropanol</t>
  </si>
  <si>
    <t>3,3,5-trimethylcyclohexan-1-one</t>
  </si>
  <si>
    <t>3,4,4-trimethylpent-2-ene</t>
  </si>
  <si>
    <t>3,5-xylenol</t>
  </si>
  <si>
    <t>2,2-bis(p-chlorophenyl)-1,1-dichloroethylene</t>
  </si>
  <si>
    <t>clofenotane</t>
  </si>
  <si>
    <t>1-chloro-4-[2,2-dichloro-1-(4-chlorophenyl)ethyl]benzene</t>
  </si>
  <si>
    <t>TDE</t>
  </si>
  <si>
    <t>chlorocresol</t>
  </si>
  <si>
    <t>propylbenzene</t>
  </si>
  <si>
    <t>p-nonylphenol</t>
  </si>
  <si>
    <t>acetaldehyde</t>
  </si>
  <si>
    <t>acetochlor</t>
  </si>
  <si>
    <t>acetone</t>
  </si>
  <si>
    <t>ethyl acetate</t>
  </si>
  <si>
    <t xml:space="preserve">2-chloro-N-(ethoxymethyl)-N-(2-ethyl-6-methylphenyl)acetamide </t>
  </si>
  <si>
    <t>acetonitrile</t>
  </si>
  <si>
    <t>hydrogen chloride</t>
  </si>
  <si>
    <t>hydrochloric acid</t>
  </si>
  <si>
    <t>hydrogen fluoride</t>
  </si>
  <si>
    <t>hydrofluoric acid</t>
  </si>
  <si>
    <t>nitric acid</t>
  </si>
  <si>
    <t>hexadecanoic acid</t>
  </si>
  <si>
    <t>palmitic acid</t>
  </si>
  <si>
    <t>propionic acid</t>
  </si>
  <si>
    <t>stearic acid</t>
  </si>
  <si>
    <t>octadecanoic acid</t>
  </si>
  <si>
    <t>sulphuric acid</t>
  </si>
  <si>
    <t>alpha-methylstyrene</t>
  </si>
  <si>
    <t>2-phenylpropene</t>
  </si>
  <si>
    <t>aluminium</t>
  </si>
  <si>
    <t>ammoniac</t>
  </si>
  <si>
    <t>ammonia, anhydrous</t>
  </si>
  <si>
    <t>antimony</t>
  </si>
  <si>
    <t>silver</t>
  </si>
  <si>
    <t>atrazine</t>
  </si>
  <si>
    <t>kjeldahl nitrogen</t>
  </si>
  <si>
    <t>nitrogen</t>
  </si>
  <si>
    <t>barium</t>
  </si>
  <si>
    <t>bentazone</t>
  </si>
  <si>
    <t>beryllium</t>
  </si>
  <si>
    <t>(1α,2β,3α,4β,5α,6β)-1,2,3,4,5,6-hexachlorocyclohexane</t>
  </si>
  <si>
    <t xml:space="preserve">Sodium hydrogencarbonate </t>
  </si>
  <si>
    <t>sodium bicarbonate</t>
  </si>
  <si>
    <t>bifenthrin</t>
  </si>
  <si>
    <t>diphenyl ether</t>
  </si>
  <si>
    <t>biphenyl</t>
  </si>
  <si>
    <t>bismuth</t>
  </si>
  <si>
    <t>Boron</t>
  </si>
  <si>
    <t>bromacil</t>
  </si>
  <si>
    <t>bromine</t>
  </si>
  <si>
    <t>bromobenzene</t>
  </si>
  <si>
    <t>bromodichloromethane</t>
  </si>
  <si>
    <t>bromoform</t>
  </si>
  <si>
    <t>bromomethane</t>
  </si>
  <si>
    <t>butylate</t>
  </si>
  <si>
    <t>benzyl butyl phthalate</t>
  </si>
  <si>
    <t>BBP</t>
  </si>
  <si>
    <t>carbendazim</t>
  </si>
  <si>
    <t>carbetamide</t>
  </si>
  <si>
    <t>caesium</t>
  </si>
  <si>
    <t>chloridazon</t>
  </si>
  <si>
    <t>pyrazon</t>
  </si>
  <si>
    <t>chlorobenzene</t>
  </si>
  <si>
    <t>chloroethane</t>
  </si>
  <si>
    <t>chloromethane</t>
  </si>
  <si>
    <t>chloropropham</t>
  </si>
  <si>
    <t>chlorotoluron</t>
  </si>
  <si>
    <t>ammonium chloride</t>
  </si>
  <si>
    <t>calcium chloride</t>
  </si>
  <si>
    <t>chlorides</t>
  </si>
  <si>
    <t>cobalt</t>
  </si>
  <si>
    <t>p-cresol</t>
  </si>
  <si>
    <t>m-cresol</t>
  </si>
  <si>
    <t>o-cresol</t>
  </si>
  <si>
    <t>cumene</t>
  </si>
  <si>
    <t>cyanazine</t>
  </si>
  <si>
    <t>S-ethyl N-cyclohexylthiocarbamate</t>
  </si>
  <si>
    <t>Bis(2-ethylhexyl) phthalate</t>
  </si>
  <si>
    <t>deisopropylatrazine</t>
  </si>
  <si>
    <t>1,3,5-Triazine-2,4-diamine, 6-chloro-N-ethyl-</t>
  </si>
  <si>
    <t>atrazine-desethyl</t>
  </si>
  <si>
    <t>terbuthylazin-desethyl</t>
  </si>
  <si>
    <t>D-glucitol, propoxylated</t>
  </si>
  <si>
    <t>di-allate</t>
  </si>
  <si>
    <t>diazinon</t>
  </si>
  <si>
    <t>dibenzofuran</t>
  </si>
  <si>
    <t>dibromochloromethane</t>
  </si>
  <si>
    <t>dicamba</t>
  </si>
  <si>
    <t>N,N-diethylaniline</t>
  </si>
  <si>
    <t>diethyl ether</t>
  </si>
  <si>
    <t>diethyl phthalate</t>
  </si>
  <si>
    <t>DIBP</t>
  </si>
  <si>
    <t>diisobutyl phthalate</t>
  </si>
  <si>
    <t>DINP</t>
  </si>
  <si>
    <t>di-"isononyl" phthalate</t>
  </si>
  <si>
    <t>N,N-dimethylaniline</t>
  </si>
  <si>
    <t>DMF</t>
  </si>
  <si>
    <t>N,N-dimethylformamide</t>
  </si>
  <si>
    <t>dimethyl phthalate</t>
  </si>
  <si>
    <t>dibutyl phthalate</t>
  </si>
  <si>
    <t>DNP</t>
  </si>
  <si>
    <t>dinonyl phthalate</t>
  </si>
  <si>
    <t>DPA</t>
  </si>
  <si>
    <t>diphenylamine</t>
  </si>
  <si>
    <t>diquat (source : EPA)</t>
  </si>
  <si>
    <t>diquat (source: PPDB)</t>
  </si>
  <si>
    <t>diquat dibromide</t>
  </si>
  <si>
    <t xml:space="preserve">6,7-dihydrodipyrido[1,2-a:2',1'-c]pyrazinediylium </t>
  </si>
  <si>
    <t>disulfoton</t>
  </si>
  <si>
    <t>carbon disulphide</t>
  </si>
  <si>
    <t>diuron</t>
  </si>
  <si>
    <t>dodecylbenzene</t>
  </si>
  <si>
    <t>epichlorhydrin</t>
  </si>
  <si>
    <t>1-chloro-2,3-epoxypropane</t>
  </si>
  <si>
    <t>heptachlor epoxide</t>
  </si>
  <si>
    <t>esprocarb</t>
  </si>
  <si>
    <t>S-(Phenylmethyl) (ethyl-(3-methylbutan-2-yl)amino)methanethioate</t>
  </si>
  <si>
    <t>tin</t>
  </si>
  <si>
    <t>ethanol</t>
  </si>
  <si>
    <t>ethiolat</t>
  </si>
  <si>
    <t>ethofumesate</t>
  </si>
  <si>
    <t>ethane-1,2-diol</t>
  </si>
  <si>
    <t>iron</t>
  </si>
  <si>
    <t>fluoroxypyr</t>
  </si>
  <si>
    <t>4-amino-3,5-dichloro-6-fluoro-2-pyridyloxyacetic acid</t>
  </si>
  <si>
    <t>fluorides</t>
  </si>
  <si>
    <t>formaldehyde</t>
  </si>
  <si>
    <t>gallium</t>
  </si>
  <si>
    <t>Glycerol, propoxylated</t>
  </si>
  <si>
    <t>glyphosate</t>
  </si>
  <si>
    <t>hexachlorobenzene</t>
  </si>
  <si>
    <t>Hexachlorobuta-1,3-diene</t>
  </si>
  <si>
    <t>N-hexane</t>
  </si>
  <si>
    <t>hexazinone</t>
  </si>
  <si>
    <t>3-cyclohexyl-6-dimethylamino-1-methyl-1,2,3,4-tetrahydro-1,3,5-triazine-2,4-dione</t>
  </si>
  <si>
    <t>Octahydro-1,3,5,7-tetranitro-1,3,5,7-tetrazocine</t>
  </si>
  <si>
    <t>octogen ; HMX</t>
  </si>
  <si>
    <t>isodrin</t>
  </si>
  <si>
    <t>(1α,4α,4aβ,5β,8β8aβ)-1,2,3,4,10,10-hexachloro-1,4,4a,5,8,8a-hexahydro-1,4:5,8-dimethanonaphthalene</t>
  </si>
  <si>
    <t>isoproturon</t>
  </si>
  <si>
    <t>3-(4-isopropylphenyl)-1,1-dimethylurea</t>
  </si>
  <si>
    <t>lindane</t>
  </si>
  <si>
    <t>γ-HCH</t>
  </si>
  <si>
    <t>linuron</t>
  </si>
  <si>
    <t>lithium</t>
  </si>
  <si>
    <t>manganese</t>
  </si>
  <si>
    <t>(4-chloro-2-methylphenoxy)acetic acid</t>
  </si>
  <si>
    <t>mecoprop</t>
  </si>
  <si>
    <t>2-(4-chloro-2-methylphenoxy)propionic acid</t>
  </si>
  <si>
    <t>mcpa</t>
  </si>
  <si>
    <t>metamitron</t>
  </si>
  <si>
    <t>4-amino-3-methyl-6-phenyl-1,2,4-triazin-5-one</t>
  </si>
  <si>
    <t>metazachlor</t>
  </si>
  <si>
    <t>2-chloro-N-(2,6-dimethylphenyl)-N-(1H-pyrazol-1-ylmethyl)acetamide</t>
  </si>
  <si>
    <t>methabenzthiazuron</t>
  </si>
  <si>
    <t>methanol</t>
  </si>
  <si>
    <t>N-ethyl-N-methylaniline</t>
  </si>
  <si>
    <t>metobromuron</t>
  </si>
  <si>
    <t>metolachlor</t>
  </si>
  <si>
    <t>2-chloro-2'-ethyl-N-(2-methoxy-1-methylethyl)-6'-methylacetanilide</t>
  </si>
  <si>
    <t>metoxuron</t>
  </si>
  <si>
    <t>molinate</t>
  </si>
  <si>
    <t>molybdenum</t>
  </si>
  <si>
    <t>monolinuron</t>
  </si>
  <si>
    <t>3-picoline</t>
  </si>
  <si>
    <t>3-methylpyridine</t>
  </si>
  <si>
    <t>napropamide</t>
  </si>
  <si>
    <t>butylbenzene</t>
  </si>
  <si>
    <t>nitrate</t>
  </si>
  <si>
    <t>nitrite</t>
  </si>
  <si>
    <t>cellulose nitrate</t>
  </si>
  <si>
    <t>nitroglycerine</t>
  </si>
  <si>
    <t>Glycerol trinitrate</t>
  </si>
  <si>
    <t>2,2,2,o,p'-pentachloroethylidenebisbenzene</t>
  </si>
  <si>
    <t>2-picoline</t>
  </si>
  <si>
    <t>2-methylpyridine</t>
  </si>
  <si>
    <t>orbencarb</t>
  </si>
  <si>
    <t>propylene oxide</t>
  </si>
  <si>
    <t>methyloxirane</t>
  </si>
  <si>
    <t>S-(2-chlorobenzyl) N,N-diethylthiocarbamate</t>
  </si>
  <si>
    <t>paraquat dichloride</t>
  </si>
  <si>
    <t>paraquat (source: EPA)</t>
  </si>
  <si>
    <t>paraquat (source: HSDB, PPDB)</t>
  </si>
  <si>
    <t>1,1'-dimethyl-4,4'-bipyridinium</t>
  </si>
  <si>
    <t>2,3',4,4',5-pentachlorobiphenyl</t>
  </si>
  <si>
    <t>2,2',3,4,4',5'-hexachlorobiphenyl</t>
  </si>
  <si>
    <t>2,2',4,4',5,5'-Hexachlorobiphenyl</t>
  </si>
  <si>
    <t xml:space="preserve">2,2',3,4,4',5,5'-heptachlorobiphenyl </t>
  </si>
  <si>
    <t xml:space="preserve">2,4,4'-trichlorobiphenyl </t>
  </si>
  <si>
    <t>2,2',5,5'-tetrachlorobiphenyl</t>
  </si>
  <si>
    <t>Polychlorinated biphenyls (PCB)</t>
  </si>
  <si>
    <t>pebulate</t>
  </si>
  <si>
    <t>pentachlorobenzene</t>
  </si>
  <si>
    <t>pentachlorophenol</t>
  </si>
  <si>
    <t>penthrite ; PETN</t>
  </si>
  <si>
    <t>pentaerithrityl tetranitrate</t>
  </si>
  <si>
    <t>phosphorus</t>
  </si>
  <si>
    <t>picoline</t>
  </si>
  <si>
    <t>methylpyridine</t>
  </si>
  <si>
    <t>4-picoline</t>
  </si>
  <si>
    <t>4-methylpyridine</t>
  </si>
  <si>
    <t>prometryn</t>
  </si>
  <si>
    <t>propachlor</t>
  </si>
  <si>
    <t>propane-1,2-diol, propoxylated</t>
  </si>
  <si>
    <t>propanil</t>
  </si>
  <si>
    <t>propazine</t>
  </si>
  <si>
    <t>prosulfocarb</t>
  </si>
  <si>
    <t>RDX ; hexogen</t>
  </si>
  <si>
    <t>perhydro-1,3,5-trinitro-1,3,5-triazine</t>
  </si>
  <si>
    <t>sebuthylazine</t>
  </si>
  <si>
    <t>sec-butylbenzene</t>
  </si>
  <si>
    <t>selenium</t>
  </si>
  <si>
    <t>EPTC</t>
  </si>
  <si>
    <t>S-ethyl dipropylthiocarbamate</t>
  </si>
  <si>
    <t>silicon</t>
  </si>
  <si>
    <t>simazine</t>
  </si>
  <si>
    <t>cresol</t>
  </si>
  <si>
    <t>sulfur</t>
  </si>
  <si>
    <t>squalene</t>
  </si>
  <si>
    <t>2,6,10,15,19,23-hexamethyltetracosa-2,6,10,14,18,22-hexaene</t>
  </si>
  <si>
    <t>strontium</t>
  </si>
  <si>
    <t>sulfate</t>
  </si>
  <si>
    <t>tellurium</t>
  </si>
  <si>
    <t>terbuthylazine</t>
  </si>
  <si>
    <t>terbutryn</t>
  </si>
  <si>
    <t>tert-butanol</t>
  </si>
  <si>
    <t>2-methylpropan-2-ol</t>
  </si>
  <si>
    <t>tert-butylbenzene</t>
  </si>
  <si>
    <t>thallium</t>
  </si>
  <si>
    <t>thymol</t>
  </si>
  <si>
    <t>titanium</t>
  </si>
  <si>
    <t>TCPP</t>
  </si>
  <si>
    <t>tris(2-chloro-1-methylethyl)phosphate</t>
  </si>
  <si>
    <t>tungsten</t>
  </si>
  <si>
    <t>vanadium</t>
  </si>
  <si>
    <t>vernolate</t>
  </si>
  <si>
    <t>S-propyl dipropylthiocarbamate</t>
  </si>
  <si>
    <t>PCB (somme des 7 congénères de Ballschmiter)</t>
  </si>
  <si>
    <t xml:space="preserve">cumene
</t>
  </si>
  <si>
    <t>β-HCH</t>
  </si>
  <si>
    <t xml:space="preserve">108-20-3
</t>
  </si>
  <si>
    <t>DIPE</t>
  </si>
  <si>
    <t>Diisopropyl ether</t>
  </si>
  <si>
    <t>C12H7Cl3</t>
  </si>
  <si>
    <t>C12H6Cl4</t>
  </si>
  <si>
    <t>C12H5Cl5</t>
  </si>
  <si>
    <t>C12H4Cl6</t>
  </si>
  <si>
    <t>C12H3Cl7</t>
  </si>
  <si>
    <t>526-73-8</t>
  </si>
  <si>
    <t>142-82-5</t>
  </si>
  <si>
    <t>7439-97-6</t>
  </si>
  <si>
    <t>111-65-9</t>
  </si>
  <si>
    <t xml:space="preserve">1,2,3-trimethylbenzene </t>
  </si>
  <si>
    <t>heptane</t>
  </si>
  <si>
    <t>mercury (elemental)</t>
  </si>
  <si>
    <t>octane</t>
  </si>
  <si>
    <t>1,2,3-trimethylbenzene</t>
  </si>
  <si>
    <t>non calculée</t>
  </si>
  <si>
    <t>En présence  de polluants pertinents non repris dans cette base de données, l'expert effectue une demande d'avis conformément aux recommandations reprises sur le site internet. Cette demande comporte des renseignements relatifs au terrain concerné, aux  polluants ainsi qu’aux méthodes d’analyses préconisées sur base d’un formulaire qui doit être préalablement rempli par le laboratoire.</t>
  </si>
  <si>
    <t>non déterminé</t>
  </si>
  <si>
    <r>
      <t>Les protocoles de calcul des valeurs limites et de sélection des méthodes analytiques sont disponibles sur le site internet</t>
    </r>
    <r>
      <rPr>
        <strike/>
        <sz val="11"/>
        <color theme="1"/>
        <rFont val="Calibri"/>
        <family val="2"/>
        <scheme val="minor"/>
      </rPr>
      <t xml:space="preserve"> </t>
    </r>
    <r>
      <rPr>
        <b/>
        <sz val="11"/>
        <rFont val="Calibri"/>
        <family val="2"/>
        <scheme val="minor"/>
      </rPr>
      <t>http://dps.environnement.wallonie.be/home.html</t>
    </r>
  </si>
  <si>
    <r>
      <t xml:space="preserve">Ces valeurs limites ne doivent pas être considérées comme des normes au sens du décret sols. Il s'agit de recommandations à destination des experts agréés en gestion des sols pollués. Il appartient à l'expert de toujours analyser les hypothèses et procédures de calcul ayant mené à la détermination de ces valeurs. Il </t>
    </r>
    <r>
      <rPr>
        <sz val="11"/>
        <rFont val="Calibri"/>
        <family val="2"/>
        <scheme val="minor"/>
      </rPr>
      <t>convient également à l'expert de se référer au CWBP (Code Wallon de Bonnes Pratiques) en ce qui concerne la bonne utilisation de ces valeurs dans le cadre de la réalisation des études de sols et leur représentativité sur le terrain concerné</t>
    </r>
    <r>
      <rPr>
        <sz val="11"/>
        <color theme="1"/>
        <rFont val="Calibri"/>
        <family val="2"/>
        <scheme val="minor"/>
      </rPr>
      <t>.</t>
    </r>
  </si>
  <si>
    <t>Une mise à jour est prévue tous les 6 mois . Il est donc important pour l'utilisateur de toujours consulter la dernière version à jour, disponible sur le site internet repris ci-dessus, et de référencer dans son étude la version de la base de données utilisée. En effet, une procédure d’assainissement entamée peut se poursuivre sur base des valeurs limites utilisées et acceptées dans le cadre de l’étude d’orientation.</t>
  </si>
  <si>
    <r>
      <t xml:space="preserve">Tableau des valeurs limites calculées avec le modèle </t>
    </r>
    <r>
      <rPr>
        <b/>
        <u/>
        <sz val="11"/>
        <color rgb="FF00B050"/>
        <rFont val="Calibri"/>
        <family val="2"/>
        <scheme val="minor"/>
      </rPr>
      <t>RISC-HUMAN</t>
    </r>
    <r>
      <rPr>
        <b/>
        <sz val="11"/>
        <color theme="1"/>
        <rFont val="Calibri"/>
        <family val="2"/>
        <scheme val="minor"/>
      </rPr>
      <t xml:space="preserve"> (date: 08/08/2017)
</t>
    </r>
    <r>
      <rPr>
        <b/>
        <sz val="11"/>
        <color rgb="FF00B050"/>
        <rFont val="Calibri"/>
        <family val="2"/>
        <scheme val="minor"/>
      </rPr>
      <t>ATTENTION: Exception - Les valeurs limites des PNN repris dans l'outil S-RISK ont été calculées avec le modèle S-RISK (cfr remarque ci-dessous). Ces PNN sont faciles à identifier, étant donné qu'ils sont les seuls à comporter une VLH usage II</t>
    </r>
    <r>
      <rPr>
        <b/>
        <sz val="11"/>
        <color theme="1"/>
        <rFont val="Calibri"/>
        <family val="2"/>
        <scheme val="minor"/>
      </rPr>
      <t xml:space="preserve">
</t>
    </r>
    <r>
      <rPr>
        <b/>
        <sz val="11"/>
        <color rgb="FFFF0000"/>
        <rFont val="Calibri"/>
        <family val="2"/>
        <scheme val="minor"/>
      </rPr>
      <t xml:space="preserve">légende: </t>
    </r>
    <r>
      <rPr>
        <b/>
        <sz val="11"/>
        <color theme="1"/>
        <rFont val="Calibri"/>
        <family val="2"/>
        <scheme val="minor"/>
      </rPr>
      <t xml:space="preserve">
)- NA (not available): absence de données pour calcul
)- NP: non pertinent
)- VLH: valeur limite pour la santé humaine
)- VLN: valeur limite pour le risque de transport par lessivage vers la nappe
)- VLnappe: valeur limite pour les risques d'utilisation de l'eau souterraine
)- VLnappe_non_exploitable: valeur limite pour les risques d'utilisation de l'eau souterraine, valable uniquement pour les nappes non exploitables
)- VLnappe_volatilisation: valeur limite pour les risques pour la santé humaine par volatilisation des polluants depuis la nappe
</t>
    </r>
    <r>
      <rPr>
        <b/>
        <sz val="11"/>
        <color rgb="FFFF0000"/>
        <rFont val="Calibri"/>
        <family val="2"/>
        <scheme val="minor"/>
      </rPr>
      <t>Remarques importantes:</t>
    </r>
    <r>
      <rPr>
        <b/>
        <sz val="11"/>
        <color theme="1"/>
        <rFont val="Calibri"/>
        <family val="2"/>
        <scheme val="minor"/>
      </rPr>
      <t xml:space="preserve">
- </t>
    </r>
    <r>
      <rPr>
        <b/>
        <u/>
        <sz val="11"/>
        <color theme="1"/>
        <rFont val="Calibri"/>
        <family val="2"/>
        <scheme val="minor"/>
      </rPr>
      <t>aucune valeur limite santé humaine n'est calculée pour un usage agricole avec le modèle RISC HUMAN</t>
    </r>
    <r>
      <rPr>
        <b/>
        <sz val="11"/>
        <color theme="1"/>
        <rFont val="Calibri"/>
        <family val="2"/>
        <scheme val="minor"/>
      </rPr>
      <t xml:space="preserve">. En cas de zone de protection de captage, l'expert peut en première approche considérer la valeur limite adaptée à l'usage de fait/de droit du terrain, en respect des recommandations du CWBP. L'aspect risque de lessivage sera pris en compte via la VLN (non déclinée en fonction du type d'usage).
En cas d'usage agricole (hors zone de protection de captage), l'expert peut en première approche considérer un usage résidentiel ou passer directement à une étude détaillée des risques
</t>
    </r>
    <r>
      <rPr>
        <b/>
        <sz val="11"/>
        <color rgb="FF00B050"/>
        <rFont val="Calibri"/>
        <family val="2"/>
        <scheme val="minor"/>
      </rPr>
      <t>-</t>
    </r>
    <r>
      <rPr>
        <b/>
        <u/>
        <sz val="11"/>
        <color rgb="FF00B050"/>
        <rFont val="Calibri"/>
        <family val="2"/>
        <scheme val="minor"/>
      </rPr>
      <t xml:space="preserve"> Pour les PNN repris à la fois dans cette BD PNN et dans l'outil S-RISK, les valeurs limites ont été calculées sur base des données reprises dans les fiches polluants et sur base de l'application I du modèle S-RISK</t>
    </r>
    <r>
      <rPr>
        <b/>
        <sz val="11"/>
        <color rgb="FF00B050"/>
        <rFont val="Calibri"/>
        <family val="2"/>
        <scheme val="minor"/>
      </rPr>
      <t>. En conséquence, les données physico-chimiques et toxicologiques ont été masquées dans la présente BD PNN, de même que les valeurs limites calculées avec RISC-HUMAN</t>
    </r>
    <r>
      <rPr>
        <b/>
        <sz val="11"/>
        <color theme="1"/>
        <rFont val="Calibri"/>
        <family val="2"/>
        <scheme val="minor"/>
      </rPr>
      <t xml:space="preserve">
</t>
    </r>
  </si>
</sst>
</file>

<file path=xl/styles.xml><?xml version="1.0" encoding="utf-8"?>
<styleSheet xmlns="http://schemas.openxmlformats.org/spreadsheetml/2006/main">
  <numFmts count="9">
    <numFmt numFmtId="164" formatCode="0.000E+00"/>
    <numFmt numFmtId="165" formatCode="0.0"/>
    <numFmt numFmtId="166" formatCode="0.0000"/>
    <numFmt numFmtId="167" formatCode="0.000"/>
    <numFmt numFmtId="168" formatCode="0.00000"/>
    <numFmt numFmtId="169" formatCode="0.E+00"/>
    <numFmt numFmtId="170" formatCode="0.0000000"/>
    <numFmt numFmtId="171" formatCode="0.000000"/>
    <numFmt numFmtId="172" formatCode="0.0E+00"/>
  </numFmts>
  <fonts count="38">
    <font>
      <sz val="11"/>
      <color theme="1"/>
      <name val="Calibri"/>
      <family val="2"/>
      <scheme val="minor"/>
    </font>
    <font>
      <sz val="11"/>
      <color theme="1"/>
      <name val="Calibri"/>
      <family val="2"/>
      <scheme val="minor"/>
    </font>
    <font>
      <sz val="10"/>
      <name val="Arial"/>
      <family val="2"/>
    </font>
    <font>
      <b/>
      <sz val="12"/>
      <name val="Arial"/>
      <family val="2"/>
    </font>
    <font>
      <sz val="12"/>
      <name val="Arial"/>
      <family val="2"/>
    </font>
    <font>
      <sz val="11"/>
      <name val="Arial"/>
      <family val="2"/>
    </font>
    <font>
      <b/>
      <sz val="12"/>
      <color theme="1"/>
      <name val="Arial"/>
      <family val="2"/>
    </font>
    <font>
      <sz val="12"/>
      <color theme="1"/>
      <name val="Arial"/>
      <family val="2"/>
    </font>
    <font>
      <u/>
      <sz val="10"/>
      <name val="Arial"/>
      <family val="2"/>
    </font>
    <font>
      <u/>
      <sz val="10"/>
      <color theme="10"/>
      <name val="Arial"/>
      <family val="2"/>
    </font>
    <font>
      <b/>
      <sz val="12"/>
      <color theme="1"/>
      <name val="Segoe UI"/>
      <family val="2"/>
    </font>
    <font>
      <b/>
      <sz val="10"/>
      <name val="Arial"/>
      <family val="2"/>
    </font>
    <font>
      <sz val="11"/>
      <name val="Calibri"/>
      <family val="2"/>
      <scheme val="minor"/>
    </font>
    <font>
      <b/>
      <sz val="11"/>
      <color theme="1"/>
      <name val="Calibri"/>
      <family val="2"/>
      <scheme val="minor"/>
    </font>
    <font>
      <b/>
      <sz val="11"/>
      <name val="Calibri"/>
      <family val="2"/>
      <scheme val="minor"/>
    </font>
    <font>
      <b/>
      <sz val="12"/>
      <color theme="1"/>
      <name val="Calibri"/>
      <family val="2"/>
      <scheme val="minor"/>
    </font>
    <font>
      <sz val="9"/>
      <name val="Calibri"/>
      <family val="2"/>
      <scheme val="minor"/>
    </font>
    <font>
      <b/>
      <sz val="11"/>
      <color indexed="62"/>
      <name val="Calibri"/>
      <family val="2"/>
      <scheme val="minor"/>
    </font>
    <font>
      <b/>
      <sz val="11"/>
      <color indexed="10"/>
      <name val="Calibri"/>
      <family val="2"/>
      <scheme val="minor"/>
    </font>
    <font>
      <b/>
      <sz val="11"/>
      <color indexed="18"/>
      <name val="Calibri"/>
      <family val="2"/>
      <scheme val="minor"/>
    </font>
    <font>
      <i/>
      <sz val="11"/>
      <name val="Calibri"/>
      <family val="2"/>
      <scheme val="minor"/>
    </font>
    <font>
      <sz val="11"/>
      <color theme="3"/>
      <name val="Calibri"/>
      <family val="2"/>
      <scheme val="minor"/>
    </font>
    <font>
      <b/>
      <i/>
      <sz val="11"/>
      <color theme="1"/>
      <name val="Calibri"/>
      <family val="2"/>
      <scheme val="minor"/>
    </font>
    <font>
      <b/>
      <sz val="11"/>
      <color rgb="FFFF0000"/>
      <name val="Calibri"/>
      <family val="2"/>
      <scheme val="minor"/>
    </font>
    <font>
      <sz val="10"/>
      <color theme="1"/>
      <name val="Verdana"/>
      <family val="2"/>
    </font>
    <font>
      <vertAlign val="subscript"/>
      <sz val="10"/>
      <color theme="1"/>
      <name val="Verdana"/>
      <family val="2"/>
    </font>
    <font>
      <sz val="14"/>
      <name val="Arial"/>
      <family val="2"/>
    </font>
    <font>
      <b/>
      <sz val="14"/>
      <name val="Arial"/>
      <family val="2"/>
    </font>
    <font>
      <vertAlign val="subscript"/>
      <sz val="10"/>
      <name val="Arial"/>
      <family val="2"/>
    </font>
    <font>
      <vertAlign val="superscript"/>
      <sz val="10"/>
      <name val="Arial"/>
      <family val="2"/>
    </font>
    <font>
      <sz val="9"/>
      <name val="Verdana"/>
      <family val="2"/>
    </font>
    <font>
      <vertAlign val="superscript"/>
      <sz val="9"/>
      <name val="Verdana"/>
      <family val="2"/>
    </font>
    <font>
      <sz val="11"/>
      <color rgb="FF000000"/>
      <name val="Calibri"/>
      <family val="2"/>
      <scheme val="minor"/>
    </font>
    <font>
      <b/>
      <u/>
      <sz val="11"/>
      <color theme="1"/>
      <name val="Calibri"/>
      <family val="2"/>
      <scheme val="minor"/>
    </font>
    <font>
      <b/>
      <u/>
      <sz val="11"/>
      <color rgb="FF00B050"/>
      <name val="Calibri"/>
      <family val="2"/>
      <scheme val="minor"/>
    </font>
    <font>
      <b/>
      <sz val="11"/>
      <color rgb="FF00B050"/>
      <name val="Calibri"/>
      <family val="2"/>
      <scheme val="minor"/>
    </font>
    <font>
      <sz val="10"/>
      <color indexed="8"/>
      <name val="Arial"/>
      <family val="2"/>
    </font>
    <font>
      <strike/>
      <sz val="11"/>
      <color theme="1"/>
      <name val="Calibri"/>
      <family val="2"/>
      <scheme val="minor"/>
    </font>
  </fonts>
  <fills count="15">
    <fill>
      <patternFill patternType="none"/>
    </fill>
    <fill>
      <patternFill patternType="gray125"/>
    </fill>
    <fill>
      <patternFill patternType="solid">
        <fgColor theme="0" tint="-4.9989318521683403E-2"/>
        <bgColor indexed="64"/>
      </patternFill>
    </fill>
    <fill>
      <patternFill patternType="solid">
        <fgColor theme="5" tint="0.79998168889431442"/>
        <bgColor indexed="64"/>
      </patternFill>
    </fill>
    <fill>
      <patternFill patternType="solid">
        <fgColor theme="6" tint="0.59999389629810485"/>
        <bgColor indexed="64"/>
      </patternFill>
    </fill>
    <fill>
      <patternFill patternType="solid">
        <fgColor theme="0"/>
        <bgColor indexed="64"/>
      </patternFill>
    </fill>
    <fill>
      <patternFill patternType="solid">
        <fgColor rgb="FFFFFF00"/>
        <bgColor indexed="64"/>
      </patternFill>
    </fill>
    <fill>
      <patternFill patternType="solid">
        <fgColor theme="6" tint="0.39997558519241921"/>
        <bgColor indexed="64"/>
      </patternFill>
    </fill>
    <fill>
      <patternFill patternType="solid">
        <fgColor theme="6"/>
        <bgColor indexed="64"/>
      </patternFill>
    </fill>
    <fill>
      <patternFill patternType="solid">
        <fgColor theme="2" tint="-0.249977111117893"/>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rgb="FFF8F6AC"/>
        <bgColor indexed="64"/>
      </patternFill>
    </fill>
    <fill>
      <patternFill patternType="solid">
        <fgColor theme="0" tint="-0.14999847407452621"/>
        <bgColor indexed="64"/>
      </patternFill>
    </fill>
    <fill>
      <patternFill patternType="solid">
        <fgColor theme="1"/>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s>
  <cellStyleXfs count="19">
    <xf numFmtId="0" fontId="0" fillId="0" borderId="0"/>
    <xf numFmtId="0" fontId="2" fillId="0" borderId="0"/>
    <xf numFmtId="0" fontId="1" fillId="0" borderId="0"/>
    <xf numFmtId="0" fontId="9" fillId="0" borderId="0" applyNumberForma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164" fontId="10" fillId="2" borderId="1">
      <alignment horizontal="left" vertical="center"/>
    </xf>
    <xf numFmtId="0" fontId="1" fillId="0" borderId="0"/>
    <xf numFmtId="0" fontId="1" fillId="0" borderId="0"/>
    <xf numFmtId="0" fontId="36" fillId="0" borderId="0"/>
    <xf numFmtId="0" fontId="1" fillId="0" borderId="0"/>
    <xf numFmtId="0" fontId="2" fillId="0" borderId="0"/>
  </cellStyleXfs>
  <cellXfs count="621">
    <xf numFmtId="0" fontId="0" fillId="0" borderId="0" xfId="0"/>
    <xf numFmtId="0" fontId="2" fillId="0" borderId="1" xfId="1" applyBorder="1" applyAlignment="1">
      <alignment horizontal="center"/>
    </xf>
    <xf numFmtId="0" fontId="2" fillId="0" borderId="1" xfId="1" applyFont="1" applyBorder="1" applyAlignment="1">
      <alignment horizontal="center" vertical="center"/>
    </xf>
    <xf numFmtId="0" fontId="0" fillId="0" borderId="0" xfId="0" applyAlignment="1">
      <alignment horizontal="center" vertical="center"/>
    </xf>
    <xf numFmtId="0" fontId="2" fillId="0" borderId="1" xfId="1" applyBorder="1" applyAlignment="1">
      <alignment horizontal="center" wrapText="1"/>
    </xf>
    <xf numFmtId="0" fontId="2" fillId="0" borderId="1" xfId="1" applyBorder="1"/>
    <xf numFmtId="0" fontId="2" fillId="0" borderId="1" xfId="1" applyBorder="1" applyAlignment="1">
      <alignment horizontal="left" wrapText="1"/>
    </xf>
    <xf numFmtId="0" fontId="2" fillId="0" borderId="1" xfId="1" applyFont="1" applyBorder="1" applyAlignment="1">
      <alignment horizontal="center" wrapText="1"/>
    </xf>
    <xf numFmtId="0" fontId="2" fillId="0" borderId="1" xfId="1" applyFont="1" applyBorder="1" applyAlignment="1">
      <alignment horizontal="center"/>
    </xf>
    <xf numFmtId="0" fontId="0" fillId="0" borderId="1" xfId="0" applyBorder="1" applyAlignment="1">
      <alignment horizontal="center"/>
    </xf>
    <xf numFmtId="0" fontId="4"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vertical="center" wrapText="1"/>
    </xf>
    <xf numFmtId="0" fontId="4" fillId="0" borderId="1" xfId="0" applyFont="1" applyFill="1" applyBorder="1" applyAlignment="1" applyProtection="1">
      <alignment horizontal="center" vertical="center" wrapText="1"/>
      <protection locked="0"/>
    </xf>
    <xf numFmtId="0" fontId="3" fillId="0" borderId="1" xfId="0" applyFont="1" applyFill="1" applyBorder="1" applyAlignment="1" applyProtection="1">
      <alignment horizontal="center" vertical="center" wrapText="1"/>
      <protection locked="0"/>
    </xf>
    <xf numFmtId="0" fontId="4" fillId="0" borderId="1" xfId="0" applyFont="1" applyBorder="1" applyAlignment="1">
      <alignment horizontal="center"/>
    </xf>
    <xf numFmtId="0" fontId="4" fillId="0" borderId="1" xfId="0" applyFont="1" applyBorder="1"/>
    <xf numFmtId="0" fontId="4" fillId="0" borderId="1" xfId="0" applyFont="1" applyFill="1" applyBorder="1" applyAlignment="1">
      <alignment horizontal="left" vertical="center"/>
    </xf>
    <xf numFmtId="49" fontId="4" fillId="0" borderId="1" xfId="0" applyNumberFormat="1" applyFont="1" applyFill="1" applyBorder="1" applyAlignment="1">
      <alignment horizontal="center" vertical="center" wrapText="1"/>
    </xf>
    <xf numFmtId="0" fontId="4" fillId="0" borderId="1" xfId="0" applyFont="1" applyFill="1" applyBorder="1" applyAlignment="1">
      <alignment horizontal="left" vertical="center" wrapText="1"/>
    </xf>
    <xf numFmtId="0" fontId="4" fillId="0" borderId="1" xfId="0" applyFont="1" applyFill="1" applyBorder="1" applyAlignment="1" applyProtection="1">
      <alignment horizontal="left" vertical="center" wrapText="1"/>
      <protection locked="0"/>
    </xf>
    <xf numFmtId="0" fontId="3" fillId="0" borderId="1" xfId="0" applyFont="1" applyFill="1" applyBorder="1" applyAlignment="1">
      <alignment horizontal="left" vertical="center" wrapText="1"/>
    </xf>
    <xf numFmtId="0" fontId="3" fillId="0" borderId="1" xfId="0" applyFont="1" applyFill="1" applyBorder="1" applyAlignment="1" applyProtection="1">
      <alignment horizontal="left" vertical="center" wrapText="1"/>
      <protection locked="0"/>
    </xf>
    <xf numFmtId="0" fontId="4" fillId="0" borderId="1" xfId="0" applyFont="1" applyFill="1" applyBorder="1" applyAlignment="1" applyProtection="1">
      <alignment horizontal="center" vertical="center"/>
    </xf>
    <xf numFmtId="0" fontId="3" fillId="0" borderId="1" xfId="0" applyFont="1" applyFill="1" applyBorder="1" applyAlignment="1" applyProtection="1">
      <alignment horizontal="left" vertical="center"/>
    </xf>
    <xf numFmtId="0" fontId="3" fillId="0" borderId="1" xfId="0" applyFont="1" applyFill="1" applyBorder="1" applyAlignment="1">
      <alignment horizontal="left" vertical="center"/>
    </xf>
    <xf numFmtId="0" fontId="5" fillId="0" borderId="1" xfId="0" applyFont="1" applyFill="1" applyBorder="1" applyAlignment="1">
      <alignment horizontal="left" vertical="center" wrapText="1"/>
    </xf>
    <xf numFmtId="49" fontId="4" fillId="0" borderId="1" xfId="0" applyNumberFormat="1" applyFont="1" applyFill="1" applyBorder="1" applyAlignment="1">
      <alignment horizontal="left" vertical="center" wrapText="1"/>
    </xf>
    <xf numFmtId="0" fontId="2" fillId="0" borderId="0" xfId="1"/>
    <xf numFmtId="0" fontId="2" fillId="0" borderId="0" xfId="1" applyFont="1" applyBorder="1" applyAlignment="1">
      <alignment horizontal="center" wrapText="1"/>
    </xf>
    <xf numFmtId="0" fontId="2" fillId="0" borderId="0" xfId="1" applyBorder="1" applyAlignment="1"/>
    <xf numFmtId="0" fontId="2" fillId="0" borderId="0" xfId="1" applyBorder="1" applyAlignment="1">
      <alignment horizontal="center"/>
    </xf>
    <xf numFmtId="0" fontId="2" fillId="0" borderId="0" xfId="1" applyFont="1" applyBorder="1" applyAlignment="1">
      <alignment horizontal="left"/>
    </xf>
    <xf numFmtId="0" fontId="2" fillId="0" borderId="0" xfId="1" applyBorder="1" applyAlignment="1">
      <alignment horizontal="left"/>
    </xf>
    <xf numFmtId="0" fontId="2" fillId="0" borderId="0" xfId="1" applyBorder="1"/>
    <xf numFmtId="0" fontId="2" fillId="0" borderId="1" xfId="1" applyFont="1" applyBorder="1" applyAlignment="1">
      <alignment horizontal="left"/>
    </xf>
    <xf numFmtId="0" fontId="9" fillId="0" borderId="1" xfId="3" applyBorder="1" applyAlignment="1">
      <alignment horizontal="center"/>
    </xf>
    <xf numFmtId="0" fontId="9" fillId="0" borderId="1" xfId="3" applyBorder="1" applyAlignment="1">
      <alignment horizontal="right"/>
    </xf>
    <xf numFmtId="0" fontId="9" fillId="0" borderId="1" xfId="3" applyBorder="1"/>
    <xf numFmtId="0" fontId="8" fillId="0" borderId="1" xfId="3" applyFont="1" applyBorder="1" applyAlignment="1">
      <alignment horizontal="center"/>
    </xf>
    <xf numFmtId="0" fontId="8" fillId="0" borderId="1" xfId="1" applyFont="1" applyBorder="1" applyAlignment="1">
      <alignment horizontal="center"/>
    </xf>
    <xf numFmtId="0" fontId="2" fillId="0" borderId="1" xfId="1" applyBorder="1" applyAlignment="1">
      <alignment horizontal="left"/>
    </xf>
    <xf numFmtId="0" fontId="2" fillId="0" borderId="1" xfId="1" applyBorder="1" applyAlignment="1"/>
    <xf numFmtId="0" fontId="2" fillId="0" borderId="1" xfId="1" applyFont="1" applyBorder="1" applyAlignment="1"/>
    <xf numFmtId="0" fontId="2" fillId="0" borderId="1" xfId="1" applyFont="1" applyBorder="1" applyAlignment="1">
      <alignment horizontal="center"/>
    </xf>
    <xf numFmtId="0" fontId="2" fillId="0" borderId="1" xfId="1" applyBorder="1" applyAlignment="1">
      <alignment horizontal="center"/>
    </xf>
    <xf numFmtId="0" fontId="0" fillId="0" borderId="1" xfId="0" applyFont="1" applyFill="1" applyBorder="1" applyAlignment="1">
      <alignment horizontal="center" vertical="center"/>
    </xf>
    <xf numFmtId="0" fontId="0" fillId="0" borderId="1" xfId="0" quotePrefix="1" applyFont="1" applyFill="1" applyBorder="1" applyAlignment="1">
      <alignment horizontal="center" vertical="center"/>
    </xf>
    <xf numFmtId="0" fontId="0" fillId="0" borderId="1" xfId="0" applyFont="1" applyBorder="1" applyAlignment="1">
      <alignment horizontal="center" vertical="center"/>
    </xf>
    <xf numFmtId="0" fontId="0" fillId="0" borderId="0" xfId="0" applyFont="1" applyAlignment="1">
      <alignment horizontal="center" vertical="center"/>
    </xf>
    <xf numFmtId="0" fontId="12" fillId="0" borderId="1" xfId="0" applyFont="1" applyFill="1" applyBorder="1" applyAlignment="1">
      <alignment horizontal="center" vertical="center"/>
    </xf>
    <xf numFmtId="0" fontId="12" fillId="0" borderId="1" xfId="0" applyFont="1" applyFill="1" applyBorder="1" applyAlignment="1">
      <alignment horizontal="center" vertical="center" wrapText="1"/>
    </xf>
    <xf numFmtId="0" fontId="12" fillId="0" borderId="1" xfId="0" applyFont="1" applyBorder="1" applyAlignment="1">
      <alignment horizontal="center" vertical="center"/>
    </xf>
    <xf numFmtId="0" fontId="0" fillId="0" borderId="0" xfId="0" applyAlignment="1">
      <alignment horizontal="left" vertical="center"/>
    </xf>
    <xf numFmtId="0" fontId="0" fillId="0" borderId="0" xfId="0" applyFont="1" applyAlignment="1">
      <alignment horizontal="center" vertical="center" wrapText="1"/>
    </xf>
    <xf numFmtId="0" fontId="0" fillId="0" borderId="1" xfId="0" applyBorder="1" applyAlignment="1">
      <alignment wrapText="1"/>
    </xf>
    <xf numFmtId="0" fontId="11" fillId="0" borderId="1" xfId="1" applyFont="1" applyBorder="1" applyAlignment="1">
      <alignment horizontal="center" vertical="center"/>
    </xf>
    <xf numFmtId="0" fontId="13" fillId="0" borderId="0" xfId="0" applyFont="1" applyAlignment="1">
      <alignment horizontal="left" vertical="center"/>
    </xf>
    <xf numFmtId="0" fontId="0" fillId="0" borderId="1" xfId="0" applyBorder="1" applyAlignment="1">
      <alignment horizontal="center" vertical="center"/>
    </xf>
    <xf numFmtId="0" fontId="0" fillId="0" borderId="1" xfId="0" applyFill="1" applyBorder="1" applyAlignment="1">
      <alignment horizontal="center" vertical="center"/>
    </xf>
    <xf numFmtId="0" fontId="2" fillId="0" borderId="1" xfId="0" applyFont="1" applyBorder="1" applyAlignment="1">
      <alignment horizontal="center" wrapText="1"/>
    </xf>
    <xf numFmtId="0" fontId="2" fillId="3" borderId="1" xfId="1" applyFont="1" applyFill="1" applyBorder="1" applyAlignment="1">
      <alignment horizontal="center" wrapText="1"/>
    </xf>
    <xf numFmtId="0" fontId="2" fillId="3" borderId="1" xfId="0" applyFont="1" applyFill="1" applyBorder="1" applyAlignment="1">
      <alignment horizontal="center" vertical="center" wrapText="1"/>
    </xf>
    <xf numFmtId="0" fontId="0" fillId="3" borderId="14" xfId="0" applyFill="1" applyBorder="1"/>
    <xf numFmtId="0" fontId="0" fillId="3" borderId="15" xfId="0" applyFill="1" applyBorder="1" applyAlignment="1">
      <alignment horizontal="center" vertical="center"/>
    </xf>
    <xf numFmtId="0" fontId="0" fillId="3" borderId="15" xfId="0" applyFill="1" applyBorder="1"/>
    <xf numFmtId="0" fontId="0" fillId="3" borderId="16" xfId="0" applyFill="1" applyBorder="1"/>
    <xf numFmtId="0" fontId="0" fillId="3" borderId="17" xfId="0" applyFill="1" applyBorder="1"/>
    <xf numFmtId="0" fontId="0" fillId="3" borderId="0" xfId="0" applyFill="1" applyBorder="1" applyAlignment="1">
      <alignment horizontal="center" vertical="center"/>
    </xf>
    <xf numFmtId="0" fontId="0" fillId="3" borderId="0" xfId="0" applyFill="1" applyBorder="1"/>
    <xf numFmtId="0" fontId="0" fillId="3" borderId="18" xfId="0" applyFill="1" applyBorder="1"/>
    <xf numFmtId="0" fontId="0" fillId="3" borderId="20" xfId="0" applyFill="1" applyBorder="1" applyAlignment="1">
      <alignment horizontal="center" vertical="center"/>
    </xf>
    <xf numFmtId="0" fontId="0" fillId="3" borderId="20" xfId="0" applyFill="1" applyBorder="1"/>
    <xf numFmtId="0" fontId="0" fillId="3" borderId="21" xfId="0" applyFill="1" applyBorder="1"/>
    <xf numFmtId="0" fontId="13" fillId="3" borderId="19" xfId="0" applyFont="1" applyFill="1" applyBorder="1"/>
    <xf numFmtId="0" fontId="14" fillId="4" borderId="1" xfId="0" applyFont="1" applyFill="1" applyBorder="1" applyAlignment="1">
      <alignment horizontal="center" vertical="center" wrapText="1"/>
    </xf>
    <xf numFmtId="0" fontId="14" fillId="4" borderId="1" xfId="0" applyFont="1" applyFill="1" applyBorder="1" applyAlignment="1">
      <alignment horizontal="center" vertical="center"/>
    </xf>
    <xf numFmtId="0" fontId="13" fillId="4" borderId="1" xfId="0" applyFont="1" applyFill="1" applyBorder="1" applyAlignment="1">
      <alignment horizontal="center" vertical="center" wrapText="1"/>
    </xf>
    <xf numFmtId="0" fontId="3" fillId="4" borderId="1" xfId="0" applyFont="1" applyFill="1" applyBorder="1" applyAlignment="1">
      <alignment horizontal="center" wrapText="1"/>
    </xf>
    <xf numFmtId="0" fontId="11" fillId="4" borderId="1" xfId="1" applyFont="1" applyFill="1" applyBorder="1" applyAlignment="1">
      <alignment horizontal="center" vertical="center"/>
    </xf>
    <xf numFmtId="0" fontId="11" fillId="4" borderId="1" xfId="1" applyFont="1" applyFill="1" applyBorder="1" applyAlignment="1">
      <alignment horizontal="center" vertical="center" wrapText="1"/>
    </xf>
    <xf numFmtId="0" fontId="11" fillId="0" borderId="1" xfId="0" applyFont="1" applyBorder="1" applyAlignment="1">
      <alignment horizontal="center" wrapText="1"/>
    </xf>
    <xf numFmtId="0" fontId="13" fillId="0" borderId="8" xfId="0" applyFont="1" applyFill="1" applyBorder="1" applyAlignment="1">
      <alignment horizontal="left" vertical="top" wrapText="1"/>
    </xf>
    <xf numFmtId="0" fontId="13" fillId="0" borderId="1" xfId="0" applyFont="1" applyFill="1" applyBorder="1" applyAlignment="1">
      <alignment horizontal="center" vertical="center" wrapText="1"/>
    </xf>
    <xf numFmtId="0" fontId="13" fillId="4" borderId="1" xfId="0" applyFont="1" applyFill="1" applyBorder="1" applyAlignment="1">
      <alignment horizontal="center" vertical="center"/>
    </xf>
    <xf numFmtId="0" fontId="13" fillId="4" borderId="1" xfId="0" applyFont="1" applyFill="1" applyBorder="1" applyAlignment="1">
      <alignment vertical="center"/>
    </xf>
    <xf numFmtId="0" fontId="15" fillId="4" borderId="1" xfId="0" applyFont="1" applyFill="1" applyBorder="1" applyAlignment="1">
      <alignment horizontal="center" vertical="center" wrapText="1"/>
    </xf>
    <xf numFmtId="0" fontId="13" fillId="4" borderId="4" xfId="0" applyFont="1" applyFill="1" applyBorder="1" applyAlignment="1">
      <alignment horizontal="center" vertical="center" wrapText="1"/>
    </xf>
    <xf numFmtId="0" fontId="0" fillId="0" borderId="1" xfId="0" applyFill="1" applyBorder="1" applyAlignment="1">
      <alignment horizontal="center"/>
    </xf>
    <xf numFmtId="2" fontId="12" fillId="0" borderId="1" xfId="0" applyNumberFormat="1" applyFont="1" applyBorder="1" applyAlignment="1" applyProtection="1">
      <alignment horizontal="center" vertical="center" wrapText="1"/>
      <protection hidden="1"/>
    </xf>
    <xf numFmtId="2" fontId="12" fillId="0" borderId="1" xfId="0" applyNumberFormat="1" applyFont="1" applyBorder="1" applyAlignment="1">
      <alignment horizontal="center"/>
    </xf>
    <xf numFmtId="0" fontId="12" fillId="0" borderId="1" xfId="0" applyFont="1" applyFill="1" applyBorder="1" applyAlignment="1">
      <alignment horizontal="center"/>
    </xf>
    <xf numFmtId="0" fontId="12" fillId="0" borderId="1" xfId="0" applyFont="1" applyFill="1" applyBorder="1" applyAlignment="1">
      <alignment horizontal="center" wrapText="1"/>
    </xf>
    <xf numFmtId="11" fontId="12" fillId="0" borderId="1" xfId="0" applyNumberFormat="1" applyFont="1" applyFill="1" applyBorder="1" applyAlignment="1">
      <alignment horizontal="center"/>
    </xf>
    <xf numFmtId="0" fontId="0" fillId="0" borderId="4" xfId="0" applyFont="1" applyFill="1" applyBorder="1" applyAlignment="1">
      <alignment horizontal="center" vertical="center"/>
    </xf>
    <xf numFmtId="2" fontId="12" fillId="0" borderId="1" xfId="0" applyNumberFormat="1" applyFont="1" applyBorder="1" applyAlignment="1">
      <alignment horizontal="center" vertical="center"/>
    </xf>
    <xf numFmtId="166" fontId="0" fillId="0" borderId="4" xfId="0" applyNumberFormat="1" applyFill="1" applyBorder="1" applyAlignment="1">
      <alignment horizontal="center" vertical="center"/>
    </xf>
    <xf numFmtId="11" fontId="12" fillId="0" borderId="1" xfId="0" applyNumberFormat="1" applyFont="1" applyFill="1" applyBorder="1" applyAlignment="1">
      <alignment horizontal="center" wrapText="1"/>
    </xf>
    <xf numFmtId="11" fontId="16" fillId="0" borderId="1" xfId="0" applyNumberFormat="1" applyFont="1" applyFill="1" applyBorder="1" applyAlignment="1">
      <alignment horizontal="center"/>
    </xf>
    <xf numFmtId="0" fontId="12" fillId="0" borderId="3" xfId="0" applyFont="1" applyFill="1" applyBorder="1" applyAlignment="1">
      <alignment horizontal="left" vertical="center" wrapText="1"/>
    </xf>
    <xf numFmtId="0" fontId="0" fillId="0" borderId="0" xfId="0" applyFill="1"/>
    <xf numFmtId="0" fontId="0" fillId="0" borderId="1" xfId="0" applyFont="1" applyBorder="1" applyAlignment="1">
      <alignment wrapText="1"/>
    </xf>
    <xf numFmtId="0" fontId="12" fillId="0" borderId="1" xfId="0" applyNumberFormat="1" applyFont="1" applyFill="1" applyBorder="1" applyAlignment="1">
      <alignment horizontal="center" wrapText="1"/>
    </xf>
    <xf numFmtId="0" fontId="0" fillId="0" borderId="1" xfId="0" applyFont="1" applyBorder="1" applyAlignment="1">
      <alignment horizontal="justify" wrapText="1"/>
    </xf>
    <xf numFmtId="0" fontId="0" fillId="0" borderId="0" xfId="0" applyFont="1" applyAlignment="1">
      <alignment wrapText="1"/>
    </xf>
    <xf numFmtId="0" fontId="0" fillId="0" borderId="1" xfId="0" applyNumberFormat="1" applyFont="1" applyBorder="1" applyAlignment="1">
      <alignment wrapText="1"/>
    </xf>
    <xf numFmtId="0" fontId="0" fillId="0" borderId="4" xfId="0" applyFill="1" applyBorder="1" applyAlignment="1">
      <alignment horizontal="center"/>
    </xf>
    <xf numFmtId="0" fontId="12" fillId="5" borderId="1" xfId="0" applyFont="1" applyFill="1" applyBorder="1" applyAlignment="1">
      <alignment wrapText="1"/>
    </xf>
    <xf numFmtId="0" fontId="0" fillId="0" borderId="1" xfId="0" applyFont="1" applyFill="1" applyBorder="1" applyAlignment="1">
      <alignment wrapText="1"/>
    </xf>
    <xf numFmtId="0" fontId="12" fillId="0" borderId="1" xfId="0" applyFont="1" applyFill="1" applyBorder="1"/>
    <xf numFmtId="0" fontId="12" fillId="0" borderId="1" xfId="0" applyFont="1" applyFill="1" applyBorder="1" applyAlignment="1" applyProtection="1">
      <alignment horizontal="left" vertical="center" wrapText="1"/>
      <protection locked="0"/>
    </xf>
    <xf numFmtId="0" fontId="0" fillId="0" borderId="0" xfId="0" applyFill="1" applyAlignment="1">
      <alignment horizontal="center"/>
    </xf>
    <xf numFmtId="0" fontId="0" fillId="0" borderId="0" xfId="0" applyAlignment="1">
      <alignment horizontal="center"/>
    </xf>
    <xf numFmtId="0" fontId="0" fillId="0" borderId="0" xfId="0" applyFill="1" applyAlignment="1">
      <alignment horizontal="center" wrapText="1"/>
    </xf>
    <xf numFmtId="0" fontId="0" fillId="4" borderId="0" xfId="0" applyFill="1" applyAlignment="1">
      <alignment horizontal="center"/>
    </xf>
    <xf numFmtId="0" fontId="0" fillId="4" borderId="0" xfId="0" applyFill="1" applyBorder="1"/>
    <xf numFmtId="0" fontId="13" fillId="4" borderId="0" xfId="0" applyFont="1" applyFill="1" applyBorder="1" applyAlignment="1">
      <alignment horizontal="center" vertical="center"/>
    </xf>
    <xf numFmtId="0" fontId="15" fillId="4" borderId="1" xfId="0" applyFont="1" applyFill="1" applyBorder="1" applyAlignment="1">
      <alignment horizontal="center" vertical="center"/>
    </xf>
    <xf numFmtId="0" fontId="15" fillId="4" borderId="1" xfId="0" applyFont="1" applyFill="1" applyBorder="1" applyAlignment="1">
      <alignment vertical="center"/>
    </xf>
    <xf numFmtId="0" fontId="15" fillId="4" borderId="5" xfId="0" applyFont="1" applyFill="1" applyBorder="1" applyAlignment="1">
      <alignment vertical="center"/>
    </xf>
    <xf numFmtId="0" fontId="15" fillId="4" borderId="11" xfId="0" applyFont="1" applyFill="1" applyBorder="1" applyAlignment="1">
      <alignment vertical="center"/>
    </xf>
    <xf numFmtId="0" fontId="0" fillId="0" borderId="0" xfId="0" applyBorder="1"/>
    <xf numFmtId="0" fontId="0" fillId="4" borderId="1" xfId="0" applyFont="1" applyFill="1" applyBorder="1" applyAlignment="1">
      <alignment horizontal="center"/>
    </xf>
    <xf numFmtId="0" fontId="0" fillId="4" borderId="9" xfId="0" applyFont="1" applyFill="1" applyBorder="1" applyAlignment="1">
      <alignment horizontal="center"/>
    </xf>
    <xf numFmtId="0" fontId="0" fillId="0" borderId="0" xfId="0" applyFont="1" applyBorder="1" applyAlignment="1">
      <alignment horizontal="center"/>
    </xf>
    <xf numFmtId="0" fontId="0" fillId="0" borderId="0" xfId="0" applyFont="1" applyFill="1" applyBorder="1" applyAlignment="1">
      <alignment horizontal="center"/>
    </xf>
    <xf numFmtId="0" fontId="17" fillId="4" borderId="1" xfId="0" applyFont="1" applyFill="1" applyBorder="1" applyAlignment="1" applyProtection="1">
      <alignment horizontal="center" vertical="center" wrapText="1"/>
      <protection hidden="1"/>
    </xf>
    <xf numFmtId="0" fontId="17" fillId="0" borderId="0" xfId="0" applyFont="1" applyBorder="1" applyAlignment="1" applyProtection="1">
      <alignment horizontal="center" vertical="center" wrapText="1"/>
      <protection hidden="1"/>
    </xf>
    <xf numFmtId="0" fontId="19" fillId="0" borderId="0" xfId="0" applyFont="1" applyBorder="1" applyAlignment="1" applyProtection="1">
      <alignment horizontal="center" vertical="center" wrapText="1"/>
      <protection hidden="1"/>
    </xf>
    <xf numFmtId="0" fontId="0" fillId="0" borderId="1" xfId="0" applyNumberFormat="1" applyFont="1" applyFill="1" applyBorder="1" applyAlignment="1">
      <alignment horizontal="center" vertical="center" wrapText="1"/>
    </xf>
    <xf numFmtId="0" fontId="0" fillId="0" borderId="1" xfId="0" applyFont="1" applyFill="1" applyBorder="1"/>
    <xf numFmtId="11" fontId="20" fillId="0" borderId="1" xfId="0" applyNumberFormat="1" applyFont="1" applyBorder="1" applyAlignment="1">
      <alignment horizontal="center"/>
    </xf>
    <xf numFmtId="2" fontId="0" fillId="0" borderId="0" xfId="0" applyNumberFormat="1" applyFont="1" applyBorder="1" applyAlignment="1">
      <alignment horizontal="center"/>
    </xf>
    <xf numFmtId="0" fontId="12" fillId="0" borderId="1" xfId="0" applyFont="1" applyBorder="1"/>
    <xf numFmtId="0" fontId="12" fillId="0" borderId="1" xfId="0" applyFont="1" applyBorder="1" applyAlignment="1">
      <alignment horizontal="center"/>
    </xf>
    <xf numFmtId="0" fontId="0" fillId="0" borderId="1" xfId="0" quotePrefix="1" applyFont="1" applyBorder="1" applyAlignment="1">
      <alignment horizontal="center" vertical="center"/>
    </xf>
    <xf numFmtId="2" fontId="12" fillId="0" borderId="1" xfId="0" applyNumberFormat="1" applyFont="1" applyFill="1" applyBorder="1" applyAlignment="1">
      <alignment horizontal="center" vertical="center"/>
    </xf>
    <xf numFmtId="167" fontId="12" fillId="0" borderId="1" xfId="0" applyNumberFormat="1" applyFont="1" applyFill="1" applyBorder="1" applyAlignment="1">
      <alignment horizontal="center" vertical="center"/>
    </xf>
    <xf numFmtId="165" fontId="12" fillId="0" borderId="1" xfId="0" applyNumberFormat="1" applyFont="1" applyFill="1" applyBorder="1" applyAlignment="1">
      <alignment horizontal="center"/>
    </xf>
    <xf numFmtId="2" fontId="12" fillId="0" borderId="1" xfId="0" applyNumberFormat="1" applyFont="1" applyFill="1" applyBorder="1" applyAlignment="1">
      <alignment horizontal="center"/>
    </xf>
    <xf numFmtId="166" fontId="12" fillId="0" borderId="1" xfId="0" applyNumberFormat="1" applyFont="1" applyBorder="1" applyAlignment="1">
      <alignment horizontal="center"/>
    </xf>
    <xf numFmtId="166" fontId="0" fillId="0" borderId="0" xfId="0" applyNumberFormat="1" applyFont="1" applyBorder="1" applyAlignment="1">
      <alignment horizontal="center"/>
    </xf>
    <xf numFmtId="2" fontId="20" fillId="0" borderId="1" xfId="0" applyNumberFormat="1" applyFont="1" applyBorder="1" applyAlignment="1">
      <alignment horizontal="center" vertical="center"/>
    </xf>
    <xf numFmtId="1" fontId="12" fillId="0" borderId="1" xfId="0" applyNumberFormat="1" applyFont="1" applyBorder="1" applyAlignment="1">
      <alignment horizontal="center"/>
    </xf>
    <xf numFmtId="167" fontId="12" fillId="0" borderId="1" xfId="0" applyNumberFormat="1" applyFont="1" applyBorder="1" applyAlignment="1">
      <alignment horizontal="center"/>
    </xf>
    <xf numFmtId="167" fontId="0" fillId="0" borderId="0" xfId="0" applyNumberFormat="1" applyFont="1" applyBorder="1" applyAlignment="1">
      <alignment horizontal="center"/>
    </xf>
    <xf numFmtId="0" fontId="0" fillId="0" borderId="0" xfId="0" applyFont="1" applyBorder="1"/>
    <xf numFmtId="0" fontId="0" fillId="0" borderId="0" xfId="0" applyFont="1"/>
    <xf numFmtId="0" fontId="21" fillId="0" borderId="1" xfId="0" applyFont="1" applyFill="1" applyBorder="1" applyAlignment="1">
      <alignment horizontal="center"/>
    </xf>
    <xf numFmtId="169" fontId="20" fillId="0" borderId="1" xfId="0" applyNumberFormat="1" applyFont="1" applyBorder="1" applyAlignment="1">
      <alignment horizontal="center"/>
    </xf>
    <xf numFmtId="165" fontId="12" fillId="0" borderId="1" xfId="0" applyNumberFormat="1" applyFont="1" applyBorder="1" applyAlignment="1">
      <alignment horizontal="center"/>
    </xf>
    <xf numFmtId="1" fontId="0" fillId="0" borderId="0" xfId="0" applyNumberFormat="1" applyFont="1" applyBorder="1" applyAlignment="1">
      <alignment horizontal="center"/>
    </xf>
    <xf numFmtId="2" fontId="0" fillId="0" borderId="0" xfId="0" applyNumberFormat="1" applyFont="1" applyBorder="1"/>
    <xf numFmtId="165" fontId="0" fillId="0" borderId="0" xfId="0" applyNumberFormat="1" applyFont="1" applyBorder="1" applyAlignment="1">
      <alignment horizontal="center"/>
    </xf>
    <xf numFmtId="0" fontId="0" fillId="0" borderId="1" xfId="0" applyFont="1" applyFill="1" applyBorder="1" applyAlignment="1">
      <alignment horizontal="justify" vertical="center" wrapText="1"/>
    </xf>
    <xf numFmtId="0" fontId="0" fillId="0" borderId="1" xfId="0" applyFill="1" applyBorder="1" applyAlignment="1">
      <alignment horizontal="justify" vertical="center" wrapText="1"/>
    </xf>
    <xf numFmtId="0" fontId="0" fillId="0" borderId="1" xfId="0" applyFont="1" applyFill="1" applyBorder="1" applyAlignment="1">
      <alignment vertical="center" wrapText="1"/>
    </xf>
    <xf numFmtId="170" fontId="0" fillId="0" borderId="0" xfId="0" applyNumberFormat="1" applyFont="1" applyBorder="1" applyAlignment="1">
      <alignment horizontal="center"/>
    </xf>
    <xf numFmtId="168" fontId="12" fillId="0" borderId="1" xfId="0" applyNumberFormat="1" applyFont="1" applyBorder="1" applyAlignment="1">
      <alignment horizontal="center"/>
    </xf>
    <xf numFmtId="168" fontId="0" fillId="0" borderId="0" xfId="0" applyNumberFormat="1" applyFont="1" applyBorder="1" applyAlignment="1">
      <alignment horizontal="center"/>
    </xf>
    <xf numFmtId="171" fontId="0" fillId="0" borderId="0" xfId="0" applyNumberFormat="1" applyFont="1" applyBorder="1" applyAlignment="1">
      <alignment horizontal="center"/>
    </xf>
    <xf numFmtId="0" fontId="0" fillId="0" borderId="1" xfId="0" applyFont="1" applyFill="1" applyBorder="1" applyAlignment="1">
      <alignment vertical="center"/>
    </xf>
    <xf numFmtId="11" fontId="12" fillId="0" borderId="1" xfId="0" applyNumberFormat="1" applyFont="1" applyBorder="1" applyAlignment="1" applyProtection="1">
      <alignment horizontal="center" vertical="center" wrapText="1"/>
      <protection hidden="1"/>
    </xf>
    <xf numFmtId="11" fontId="12" fillId="0" borderId="1" xfId="0" applyNumberFormat="1" applyFont="1" applyBorder="1" applyAlignment="1">
      <alignment horizontal="center"/>
    </xf>
    <xf numFmtId="0" fontId="12" fillId="0" borderId="1" xfId="0" applyFont="1" applyBorder="1" applyAlignment="1" applyProtection="1">
      <alignment horizontal="center" vertical="center" wrapText="1"/>
      <protection hidden="1"/>
    </xf>
    <xf numFmtId="2" fontId="20" fillId="0" borderId="1" xfId="0" applyNumberFormat="1" applyFont="1" applyBorder="1" applyAlignment="1">
      <alignment horizontal="left"/>
    </xf>
    <xf numFmtId="0" fontId="12" fillId="0" borderId="1" xfId="0" applyFont="1" applyFill="1" applyBorder="1" applyAlignment="1">
      <alignment horizontal="left" vertical="center"/>
    </xf>
    <xf numFmtId="0" fontId="0" fillId="0" borderId="1" xfId="0" applyFill="1" applyBorder="1" applyAlignment="1">
      <alignment vertical="center"/>
    </xf>
    <xf numFmtId="0" fontId="13" fillId="0" borderId="1" xfId="0" applyFont="1" applyFill="1" applyBorder="1" applyAlignment="1">
      <alignment horizontal="center" vertical="center"/>
    </xf>
    <xf numFmtId="0" fontId="13" fillId="0" borderId="4" xfId="0" applyFont="1" applyFill="1" applyBorder="1" applyAlignment="1">
      <alignment vertical="center"/>
    </xf>
    <xf numFmtId="0" fontId="13" fillId="6" borderId="12" xfId="0" applyFont="1" applyFill="1" applyBorder="1" applyAlignment="1">
      <alignment vertical="center"/>
    </xf>
    <xf numFmtId="0" fontId="13" fillId="0" borderId="6" xfId="0" applyFont="1" applyFill="1" applyBorder="1" applyAlignment="1">
      <alignment horizontal="center" vertical="center" wrapText="1"/>
    </xf>
    <xf numFmtId="0" fontId="13" fillId="0" borderId="4" xfId="0" applyFont="1" applyFill="1" applyBorder="1" applyAlignment="1">
      <alignment horizontal="center" vertical="center" wrapText="1"/>
    </xf>
    <xf numFmtId="0" fontId="13" fillId="6" borderId="12" xfId="0" applyFont="1" applyFill="1" applyBorder="1" applyAlignment="1">
      <alignment horizontal="center" vertical="center" wrapText="1"/>
    </xf>
    <xf numFmtId="0" fontId="0" fillId="6" borderId="12" xfId="0" applyFont="1" applyFill="1" applyBorder="1" applyAlignment="1"/>
    <xf numFmtId="0" fontId="0" fillId="0" borderId="6" xfId="0" applyFont="1" applyFill="1" applyBorder="1" applyAlignment="1">
      <alignment horizontal="center"/>
    </xf>
    <xf numFmtId="0" fontId="0" fillId="0" borderId="1" xfId="0" applyFont="1" applyFill="1" applyBorder="1" applyAlignment="1">
      <alignment horizontal="center"/>
    </xf>
    <xf numFmtId="11" fontId="0" fillId="0" borderId="1" xfId="0" applyNumberFormat="1" applyFill="1" applyBorder="1" applyAlignment="1">
      <alignment horizontal="center"/>
    </xf>
    <xf numFmtId="0" fontId="0" fillId="6" borderId="12" xfId="0" applyFill="1" applyBorder="1" applyAlignment="1">
      <alignment horizontal="center"/>
    </xf>
    <xf numFmtId="0" fontId="0" fillId="0" borderId="6" xfId="0" applyFill="1" applyBorder="1" applyAlignment="1">
      <alignment horizontal="center"/>
    </xf>
    <xf numFmtId="0" fontId="12" fillId="6" borderId="12" xfId="0" applyFont="1" applyFill="1" applyBorder="1" applyAlignment="1"/>
    <xf numFmtId="0" fontId="0" fillId="0" borderId="0" xfId="0" applyFont="1" applyFill="1" applyAlignment="1">
      <alignment horizontal="center"/>
    </xf>
    <xf numFmtId="0" fontId="0" fillId="0" borderId="1" xfId="0" applyNumberFormat="1" applyFont="1" applyFill="1" applyBorder="1" applyAlignment="1">
      <alignment horizontal="center"/>
    </xf>
    <xf numFmtId="0" fontId="22" fillId="6" borderId="12" xfId="0" applyFont="1" applyFill="1" applyBorder="1" applyAlignment="1"/>
    <xf numFmtId="0" fontId="0" fillId="0" borderId="1" xfId="0" applyFill="1" applyBorder="1" applyAlignment="1">
      <alignment horizontal="center" wrapText="1"/>
    </xf>
    <xf numFmtId="0" fontId="23" fillId="6" borderId="12" xfId="0" applyFont="1" applyFill="1" applyBorder="1" applyAlignment="1"/>
    <xf numFmtId="0" fontId="12" fillId="0" borderId="6" xfId="0" applyFont="1" applyFill="1" applyBorder="1" applyAlignment="1">
      <alignment horizontal="center"/>
    </xf>
    <xf numFmtId="0" fontId="21" fillId="0" borderId="6" xfId="0" applyFont="1" applyFill="1" applyBorder="1" applyAlignment="1">
      <alignment horizontal="center"/>
    </xf>
    <xf numFmtId="0" fontId="21" fillId="0" borderId="4" xfId="0" applyFont="1" applyFill="1" applyBorder="1" applyAlignment="1">
      <alignment horizontal="center"/>
    </xf>
    <xf numFmtId="0" fontId="21" fillId="6" borderId="12" xfId="0" applyFont="1" applyFill="1" applyBorder="1" applyAlignment="1">
      <alignment horizontal="center"/>
    </xf>
    <xf numFmtId="0" fontId="0" fillId="6" borderId="12" xfId="0" applyFont="1" applyFill="1" applyBorder="1" applyAlignment="1">
      <alignment horizontal="justify" vertical="center"/>
    </xf>
    <xf numFmtId="0" fontId="23" fillId="6" borderId="12" xfId="0" applyFont="1" applyFill="1" applyBorder="1" applyAlignment="1">
      <alignment horizontal="justify" vertical="center"/>
    </xf>
    <xf numFmtId="0" fontId="0" fillId="6" borderId="12" xfId="0" applyFont="1" applyFill="1" applyBorder="1" applyAlignment="1">
      <alignment vertical="center"/>
    </xf>
    <xf numFmtId="172" fontId="0" fillId="0" borderId="1" xfId="0" applyNumberFormat="1" applyFont="1" applyFill="1" applyBorder="1" applyAlignment="1" applyProtection="1">
      <alignment horizontal="center" wrapText="1"/>
    </xf>
    <xf numFmtId="0" fontId="12" fillId="6" borderId="12" xfId="0" applyFont="1" applyFill="1" applyBorder="1" applyAlignment="1">
      <alignment horizontal="justify" vertical="center"/>
    </xf>
    <xf numFmtId="0" fontId="23" fillId="6" borderId="12" xfId="0" applyFont="1" applyFill="1" applyBorder="1" applyAlignment="1">
      <alignment vertical="center"/>
    </xf>
    <xf numFmtId="0" fontId="0" fillId="0" borderId="6" xfId="0" applyNumberFormat="1" applyFill="1" applyBorder="1" applyAlignment="1">
      <alignment horizontal="center"/>
    </xf>
    <xf numFmtId="0" fontId="12" fillId="6" borderId="12" xfId="0" applyFont="1" applyFill="1" applyBorder="1" applyAlignment="1">
      <alignment vertical="center"/>
    </xf>
    <xf numFmtId="0" fontId="0" fillId="6" borderId="12" xfId="0" applyFill="1" applyBorder="1" applyAlignment="1"/>
    <xf numFmtId="0" fontId="12" fillId="6" borderId="12" xfId="0" applyFont="1" applyFill="1" applyBorder="1" applyAlignment="1">
      <alignment horizontal="left" vertical="center"/>
    </xf>
    <xf numFmtId="0" fontId="12" fillId="6" borderId="12" xfId="0" applyFont="1" applyFill="1" applyBorder="1" applyAlignment="1" applyProtection="1">
      <alignment horizontal="left" vertical="center"/>
      <protection locked="0"/>
    </xf>
    <xf numFmtId="0" fontId="0" fillId="0" borderId="4" xfId="0" applyFill="1" applyBorder="1" applyAlignment="1"/>
    <xf numFmtId="0" fontId="0" fillId="0" borderId="0" xfId="0" applyAlignment="1"/>
    <xf numFmtId="0" fontId="13" fillId="0" borderId="0" xfId="0" applyFont="1"/>
    <xf numFmtId="0" fontId="13" fillId="4" borderId="1" xfId="0" applyFont="1" applyFill="1" applyBorder="1"/>
    <xf numFmtId="0" fontId="0" fillId="0" borderId="1" xfId="0" applyBorder="1"/>
    <xf numFmtId="0" fontId="13" fillId="0" borderId="1" xfId="0" applyFont="1" applyFill="1" applyBorder="1"/>
    <xf numFmtId="0" fontId="0" fillId="0" borderId="1" xfId="0" applyBorder="1" applyAlignment="1">
      <alignment horizontal="left" vertical="center"/>
    </xf>
    <xf numFmtId="0" fontId="0" fillId="0" borderId="1" xfId="0" applyBorder="1" applyAlignment="1">
      <alignment horizontal="left" vertical="center" wrapText="1"/>
    </xf>
    <xf numFmtId="0" fontId="0" fillId="5" borderId="1" xfId="0" applyFill="1" applyBorder="1" applyAlignment="1">
      <alignment horizontal="left" vertical="center"/>
    </xf>
    <xf numFmtId="0" fontId="24" fillId="0" borderId="1" xfId="0" applyFont="1" applyBorder="1" applyAlignment="1">
      <alignment horizontal="left" vertical="center" wrapText="1"/>
    </xf>
    <xf numFmtId="0" fontId="0" fillId="0" borderId="4" xfId="0" applyBorder="1" applyAlignment="1">
      <alignment horizontal="left" vertical="center" wrapText="1"/>
    </xf>
    <xf numFmtId="0" fontId="0" fillId="0" borderId="3" xfId="0" applyBorder="1" applyAlignment="1">
      <alignment horizontal="left" vertical="center"/>
    </xf>
    <xf numFmtId="0" fontId="0" fillId="0" borderId="6" xfId="0" applyBorder="1" applyAlignment="1">
      <alignment horizontal="left" vertical="center" wrapText="1"/>
    </xf>
    <xf numFmtId="0" fontId="13" fillId="5" borderId="4" xfId="0" applyFont="1" applyFill="1" applyBorder="1" applyAlignment="1">
      <alignment horizontal="left" vertical="center"/>
    </xf>
    <xf numFmtId="0" fontId="13" fillId="5" borderId="3" xfId="0" applyFont="1" applyFill="1" applyBorder="1" applyAlignment="1">
      <alignment horizontal="left" vertical="center"/>
    </xf>
    <xf numFmtId="0" fontId="13" fillId="5" borderId="6" xfId="0" applyFont="1" applyFill="1" applyBorder="1" applyAlignment="1">
      <alignment horizontal="left" vertical="center"/>
    </xf>
    <xf numFmtId="0" fontId="0" fillId="5" borderId="0" xfId="0" applyFill="1"/>
    <xf numFmtId="0" fontId="0" fillId="0" borderId="1" xfId="0" applyFill="1" applyBorder="1" applyAlignment="1">
      <alignment horizontal="left" vertical="center"/>
    </xf>
    <xf numFmtId="0" fontId="0" fillId="0" borderId="0" xfId="0" applyFont="1" applyAlignment="1">
      <alignment horizontal="left" vertical="center"/>
    </xf>
    <xf numFmtId="0" fontId="0" fillId="0" borderId="1" xfId="0" applyFont="1" applyFill="1" applyBorder="1" applyAlignment="1">
      <alignment horizontal="left" vertical="center"/>
    </xf>
    <xf numFmtId="0" fontId="0" fillId="0" borderId="12" xfId="0" applyFill="1" applyBorder="1" applyAlignment="1">
      <alignment horizontal="left" vertical="center"/>
    </xf>
    <xf numFmtId="49" fontId="0" fillId="0" borderId="1" xfId="0" applyNumberFormat="1" applyBorder="1" applyAlignment="1">
      <alignment horizontal="left" vertical="center"/>
    </xf>
    <xf numFmtId="0" fontId="13" fillId="0" borderId="1" xfId="0" applyFont="1" applyFill="1" applyBorder="1" applyAlignment="1">
      <alignment horizontal="left" vertical="center"/>
    </xf>
    <xf numFmtId="0" fontId="2" fillId="6" borderId="12" xfId="1" applyFont="1" applyFill="1" applyBorder="1"/>
    <xf numFmtId="0" fontId="2" fillId="6" borderId="0" xfId="1" applyFont="1" applyFill="1"/>
    <xf numFmtId="0" fontId="27" fillId="6" borderId="12" xfId="1" applyFont="1" applyFill="1" applyBorder="1" applyAlignment="1">
      <alignment horizontal="center" vertical="center"/>
    </xf>
    <xf numFmtId="0" fontId="2" fillId="6" borderId="12" xfId="1" applyFont="1" applyFill="1" applyBorder="1" applyAlignment="1" applyProtection="1">
      <alignment horizontal="center" vertical="center" wrapText="1"/>
    </xf>
    <xf numFmtId="0" fontId="2" fillId="6" borderId="0" xfId="1" applyFont="1" applyFill="1" applyAlignment="1" applyProtection="1">
      <alignment vertical="center"/>
    </xf>
    <xf numFmtId="0" fontId="2" fillId="6" borderId="12" xfId="1" applyFont="1" applyFill="1" applyBorder="1" applyAlignment="1" applyProtection="1">
      <alignment horizontal="left" vertical="center"/>
    </xf>
    <xf numFmtId="0" fontId="2" fillId="6" borderId="12" xfId="1" applyFont="1" applyFill="1" applyBorder="1" applyAlignment="1">
      <alignment vertical="center" wrapText="1"/>
    </xf>
    <xf numFmtId="0" fontId="2" fillId="0" borderId="6" xfId="1" applyFont="1" applyFill="1" applyBorder="1" applyAlignment="1" applyProtection="1">
      <alignment horizontal="center" vertical="center" wrapText="1"/>
    </xf>
    <xf numFmtId="0" fontId="2" fillId="0" borderId="1" xfId="1" applyFont="1" applyFill="1" applyBorder="1" applyAlignment="1" applyProtection="1">
      <alignment horizontal="center" vertical="center" wrapText="1"/>
    </xf>
    <xf numFmtId="0" fontId="2" fillId="6" borderId="0" xfId="1" applyFont="1" applyFill="1" applyAlignment="1" applyProtection="1">
      <alignment horizontal="center" vertical="center"/>
    </xf>
    <xf numFmtId="0" fontId="2" fillId="0" borderId="1" xfId="1" applyFont="1" applyFill="1" applyBorder="1" applyAlignment="1">
      <alignment horizontal="center" vertical="center" wrapText="1"/>
    </xf>
    <xf numFmtId="0" fontId="2" fillId="6" borderId="12" xfId="1" applyFont="1" applyFill="1" applyBorder="1" applyAlignment="1">
      <alignment horizontal="center" vertical="center"/>
    </xf>
    <xf numFmtId="0" fontId="2" fillId="0" borderId="1" xfId="1" applyFont="1" applyFill="1" applyBorder="1" applyAlignment="1">
      <alignment wrapText="1"/>
    </xf>
    <xf numFmtId="0" fontId="2" fillId="0" borderId="1" xfId="1" applyFont="1" applyFill="1" applyBorder="1" applyAlignment="1" applyProtection="1">
      <alignment horizontal="center" vertical="center" wrapText="1"/>
      <protection locked="0"/>
    </xf>
    <xf numFmtId="0" fontId="2" fillId="0" borderId="4" xfId="1" applyFont="1" applyFill="1" applyBorder="1" applyAlignment="1" applyProtection="1">
      <alignment horizontal="center" vertical="center" wrapText="1"/>
      <protection locked="0"/>
    </xf>
    <xf numFmtId="0" fontId="2" fillId="6" borderId="12" xfId="1" applyFont="1" applyFill="1" applyBorder="1" applyAlignment="1" applyProtection="1">
      <alignment horizontal="center" vertical="center" wrapText="1"/>
      <protection locked="0"/>
    </xf>
    <xf numFmtId="0" fontId="2" fillId="0" borderId="6" xfId="1" applyFont="1" applyFill="1" applyBorder="1" applyAlignment="1" applyProtection="1">
      <alignment horizontal="center" vertical="center" wrapText="1"/>
      <protection locked="0"/>
    </xf>
    <xf numFmtId="2" fontId="2" fillId="0" borderId="1" xfId="1" applyNumberFormat="1" applyFont="1" applyFill="1" applyBorder="1" applyAlignment="1" applyProtection="1">
      <alignment horizontal="center" vertical="center" wrapText="1"/>
      <protection locked="0"/>
    </xf>
    <xf numFmtId="0" fontId="2" fillId="0" borderId="1" xfId="1" applyNumberFormat="1" applyFont="1" applyFill="1" applyBorder="1" applyAlignment="1" applyProtection="1">
      <alignment horizontal="center" vertical="center" wrapText="1"/>
      <protection locked="0"/>
    </xf>
    <xf numFmtId="11" fontId="2" fillId="0" borderId="1" xfId="1" applyNumberFormat="1" applyFont="1" applyFill="1" applyBorder="1" applyAlignment="1" applyProtection="1">
      <alignment horizontal="left" vertical="center" wrapText="1"/>
      <protection locked="0"/>
    </xf>
    <xf numFmtId="11" fontId="2" fillId="0" borderId="1" xfId="1" applyNumberFormat="1" applyFont="1" applyFill="1" applyBorder="1" applyAlignment="1" applyProtection="1">
      <alignment horizontal="center" vertical="center" wrapText="1"/>
      <protection locked="0"/>
    </xf>
    <xf numFmtId="0" fontId="2" fillId="6" borderId="0" xfId="1" applyFont="1" applyFill="1" applyAlignment="1">
      <alignment vertical="center"/>
    </xf>
    <xf numFmtId="11" fontId="2" fillId="6" borderId="12" xfId="1" applyNumberFormat="1" applyFont="1" applyFill="1" applyBorder="1" applyAlignment="1" applyProtection="1">
      <alignment horizontal="center" vertical="center" wrapText="1"/>
      <protection locked="0"/>
    </xf>
    <xf numFmtId="0" fontId="2" fillId="0" borderId="1" xfId="1" applyFont="1" applyFill="1" applyBorder="1" applyAlignment="1">
      <alignment vertical="center"/>
    </xf>
    <xf numFmtId="0" fontId="2" fillId="0" borderId="1" xfId="1" applyFont="1" applyFill="1" applyBorder="1" applyAlignment="1" applyProtection="1">
      <alignment horizontal="left" vertical="center" wrapText="1"/>
      <protection locked="0"/>
    </xf>
    <xf numFmtId="0" fontId="2" fillId="0" borderId="6" xfId="1" applyFont="1" applyFill="1" applyBorder="1" applyAlignment="1" applyProtection="1">
      <alignment horizontal="left" vertical="center" wrapText="1"/>
      <protection locked="0"/>
    </xf>
    <xf numFmtId="0" fontId="2" fillId="0" borderId="1" xfId="1" applyNumberFormat="1" applyFont="1" applyFill="1" applyBorder="1" applyAlignment="1" applyProtection="1">
      <alignment horizontal="left" vertical="center" wrapText="1"/>
      <protection locked="0"/>
    </xf>
    <xf numFmtId="0" fontId="2" fillId="6" borderId="0" xfId="1" applyFont="1" applyFill="1" applyAlignment="1">
      <alignment horizontal="left" vertical="center"/>
    </xf>
    <xf numFmtId="0" fontId="2" fillId="6" borderId="12" xfId="1" applyFont="1" applyFill="1" applyBorder="1" applyAlignment="1" applyProtection="1">
      <alignment horizontal="left" vertical="center" wrapText="1"/>
      <protection locked="0"/>
    </xf>
    <xf numFmtId="0" fontId="2" fillId="0" borderId="1" xfId="1" applyFont="1" applyFill="1" applyBorder="1" applyAlignment="1">
      <alignment vertical="center" wrapText="1"/>
    </xf>
    <xf numFmtId="0" fontId="2" fillId="0" borderId="1" xfId="1" quotePrefix="1" applyFont="1" applyFill="1" applyBorder="1" applyAlignment="1">
      <alignment vertical="center" wrapText="1"/>
    </xf>
    <xf numFmtId="0" fontId="2" fillId="0" borderId="1" xfId="1" applyFont="1" applyFill="1" applyBorder="1" applyAlignment="1">
      <alignment horizontal="left" vertical="center" wrapText="1"/>
    </xf>
    <xf numFmtId="0" fontId="2" fillId="0" borderId="1" xfId="1" quotePrefix="1" applyFont="1" applyFill="1" applyBorder="1" applyAlignment="1">
      <alignment horizontal="left" vertical="center" wrapText="1"/>
    </xf>
    <xf numFmtId="0" fontId="2" fillId="0" borderId="1" xfId="1" quotePrefix="1" applyFont="1" applyFill="1" applyBorder="1" applyAlignment="1">
      <alignment vertical="center"/>
    </xf>
    <xf numFmtId="0" fontId="2" fillId="6" borderId="12" xfId="1" applyFont="1" applyFill="1" applyBorder="1" applyAlignment="1">
      <alignment horizontal="center" vertical="center" wrapText="1"/>
    </xf>
    <xf numFmtId="2" fontId="2" fillId="0" borderId="1" xfId="1" applyNumberFormat="1" applyFont="1" applyFill="1" applyBorder="1" applyAlignment="1">
      <alignment horizontal="center" vertical="center" wrapText="1"/>
    </xf>
    <xf numFmtId="0" fontId="2" fillId="0" borderId="1" xfId="1" applyNumberFormat="1" applyFont="1" applyFill="1" applyBorder="1" applyAlignment="1">
      <alignment horizontal="center" vertical="center" wrapText="1"/>
    </xf>
    <xf numFmtId="2" fontId="2" fillId="6" borderId="6" xfId="1" applyNumberFormat="1" applyFont="1" applyFill="1" applyBorder="1" applyAlignment="1">
      <alignment horizontal="center" vertical="center" wrapText="1"/>
    </xf>
    <xf numFmtId="11" fontId="2" fillId="0" borderId="1" xfId="1" applyNumberFormat="1" applyFont="1" applyFill="1" applyBorder="1" applyAlignment="1">
      <alignment horizontal="left" vertical="center" wrapText="1"/>
    </xf>
    <xf numFmtId="0" fontId="2" fillId="0" borderId="1" xfId="1" applyNumberFormat="1" applyFont="1" applyFill="1" applyBorder="1" applyAlignment="1">
      <alignment horizontal="left" vertical="center" wrapText="1"/>
    </xf>
    <xf numFmtId="0" fontId="2" fillId="0" borderId="1" xfId="1" quotePrefix="1" applyFont="1" applyFill="1" applyBorder="1" applyAlignment="1" applyProtection="1">
      <alignment horizontal="left" vertical="center" wrapText="1"/>
      <protection locked="0"/>
    </xf>
    <xf numFmtId="2" fontId="2" fillId="6" borderId="6" xfId="1" applyNumberFormat="1" applyFont="1" applyFill="1" applyBorder="1" applyAlignment="1">
      <alignment horizontal="left" vertical="center" wrapText="1"/>
    </xf>
    <xf numFmtId="0" fontId="2" fillId="6" borderId="6" xfId="1" applyFont="1" applyFill="1" applyBorder="1" applyAlignment="1">
      <alignment horizontal="center" vertical="center"/>
    </xf>
    <xf numFmtId="0" fontId="2" fillId="6" borderId="6" xfId="1" applyFont="1" applyFill="1" applyBorder="1" applyAlignment="1">
      <alignment horizontal="left" vertical="center"/>
    </xf>
    <xf numFmtId="0" fontId="2" fillId="6" borderId="0" xfId="1" applyFont="1" applyFill="1" applyAlignment="1">
      <alignment horizontal="center" vertical="center"/>
    </xf>
    <xf numFmtId="0" fontId="2" fillId="0" borderId="1" xfId="1" quotePrefix="1" applyNumberFormat="1" applyFont="1" applyFill="1" applyBorder="1" applyAlignment="1" applyProtection="1">
      <alignment horizontal="left" vertical="center" wrapText="1"/>
      <protection locked="0"/>
    </xf>
    <xf numFmtId="11" fontId="2" fillId="6" borderId="11" xfId="1" applyNumberFormat="1" applyFont="1" applyFill="1" applyBorder="1" applyAlignment="1" applyProtection="1">
      <alignment horizontal="center" vertical="center" wrapText="1"/>
      <protection locked="0"/>
    </xf>
    <xf numFmtId="0" fontId="2" fillId="0" borderId="4" xfId="1" applyFont="1" applyFill="1" applyBorder="1" applyAlignment="1">
      <alignment horizontal="center" vertical="center" wrapText="1"/>
    </xf>
    <xf numFmtId="0" fontId="2" fillId="6" borderId="11" xfId="1" applyFont="1" applyFill="1" applyBorder="1" applyAlignment="1" applyProtection="1">
      <alignment horizontal="center" vertical="center" wrapText="1"/>
      <protection locked="0"/>
    </xf>
    <xf numFmtId="0" fontId="2" fillId="6" borderId="12" xfId="1" applyFont="1" applyFill="1" applyBorder="1" applyAlignment="1">
      <alignment horizontal="left" vertical="center" wrapText="1" indent="1"/>
    </xf>
    <xf numFmtId="2" fontId="2" fillId="0" borderId="6" xfId="1" applyNumberFormat="1" applyFont="1" applyFill="1" applyBorder="1" applyAlignment="1" applyProtection="1">
      <alignment horizontal="center" vertical="center" wrapText="1"/>
      <protection locked="0"/>
    </xf>
    <xf numFmtId="11" fontId="2" fillId="0" borderId="1" xfId="1" applyNumberFormat="1" applyFont="1" applyFill="1" applyBorder="1" applyAlignment="1">
      <alignment horizontal="center" vertical="center" wrapText="1"/>
    </xf>
    <xf numFmtId="0" fontId="2" fillId="6" borderId="6" xfId="1" applyFont="1" applyFill="1" applyBorder="1" applyAlignment="1" applyProtection="1">
      <alignment horizontal="center" vertical="center" wrapText="1"/>
      <protection locked="0"/>
    </xf>
    <xf numFmtId="0" fontId="2" fillId="6" borderId="6" xfId="1" applyFont="1" applyFill="1" applyBorder="1" applyAlignment="1" applyProtection="1">
      <alignment horizontal="left" vertical="center" wrapText="1"/>
      <protection locked="0"/>
    </xf>
    <xf numFmtId="0" fontId="2" fillId="0" borderId="6" xfId="1" applyFont="1" applyFill="1" applyBorder="1" applyAlignment="1">
      <alignment horizontal="left" vertical="center" wrapText="1"/>
    </xf>
    <xf numFmtId="0" fontId="2" fillId="6" borderId="6" xfId="1" applyFont="1" applyFill="1" applyBorder="1" applyAlignment="1">
      <alignment horizontal="center" vertical="center" wrapText="1"/>
    </xf>
    <xf numFmtId="0" fontId="2" fillId="6" borderId="6" xfId="1" applyFont="1" applyFill="1" applyBorder="1" applyAlignment="1">
      <alignment horizontal="left" vertical="center" wrapText="1"/>
    </xf>
    <xf numFmtId="0" fontId="2" fillId="0" borderId="6" xfId="1" applyFont="1" applyFill="1" applyBorder="1" applyAlignment="1">
      <alignment horizontal="center" vertical="center" wrapText="1"/>
    </xf>
    <xf numFmtId="0" fontId="2" fillId="0" borderId="1" xfId="1" applyFont="1" applyFill="1" applyBorder="1" applyAlignment="1" applyProtection="1">
      <alignment vertical="center" wrapText="1"/>
      <protection locked="0"/>
    </xf>
    <xf numFmtId="0" fontId="2" fillId="0" borderId="6" xfId="1" applyFont="1" applyFill="1" applyBorder="1" applyAlignment="1" applyProtection="1">
      <alignment vertical="center" wrapText="1"/>
      <protection locked="0"/>
    </xf>
    <xf numFmtId="0" fontId="2" fillId="0" borderId="1" xfId="1" applyNumberFormat="1" applyFont="1" applyFill="1" applyBorder="1" applyAlignment="1" applyProtection="1">
      <alignment vertical="center" wrapText="1"/>
      <protection locked="0"/>
    </xf>
    <xf numFmtId="0" fontId="2" fillId="6" borderId="6" xfId="1" applyFont="1" applyFill="1" applyBorder="1" applyAlignment="1">
      <alignment vertical="center" wrapText="1"/>
    </xf>
    <xf numFmtId="0" fontId="2" fillId="6" borderId="12" xfId="1" applyFont="1" applyFill="1" applyBorder="1" applyAlignment="1" applyProtection="1">
      <alignment vertical="center" wrapText="1"/>
      <protection locked="0"/>
    </xf>
    <xf numFmtId="0" fontId="2" fillId="0" borderId="1" xfId="1" quotePrefix="1" applyFont="1" applyFill="1" applyBorder="1" applyAlignment="1" applyProtection="1">
      <alignment horizontal="center" vertical="center" wrapText="1"/>
      <protection locked="0"/>
    </xf>
    <xf numFmtId="0" fontId="2" fillId="0" borderId="1" xfId="1" applyNumberFormat="1" applyFont="1" applyFill="1" applyBorder="1" applyAlignment="1">
      <alignment vertical="center" wrapText="1"/>
    </xf>
    <xf numFmtId="0" fontId="2" fillId="6" borderId="11" xfId="1" applyFont="1" applyFill="1" applyBorder="1" applyAlignment="1" applyProtection="1">
      <alignment horizontal="left" vertical="center" wrapText="1"/>
      <protection locked="0"/>
    </xf>
    <xf numFmtId="0" fontId="2" fillId="6" borderId="6" xfId="1" applyFont="1" applyFill="1" applyBorder="1"/>
    <xf numFmtId="0" fontId="2" fillId="6" borderId="6" xfId="1" applyFont="1" applyFill="1" applyBorder="1" applyAlignment="1">
      <alignment horizontal="left"/>
    </xf>
    <xf numFmtId="1" fontId="2" fillId="0" borderId="1" xfId="1" applyNumberFormat="1" applyFont="1" applyFill="1" applyBorder="1" applyAlignment="1" applyProtection="1">
      <alignment horizontal="center" vertical="center" wrapText="1"/>
      <protection locked="0"/>
    </xf>
    <xf numFmtId="168" fontId="2" fillId="0" borderId="1" xfId="1" applyNumberFormat="1" applyFont="1" applyFill="1" applyBorder="1" applyAlignment="1" applyProtection="1">
      <alignment horizontal="center" vertical="center" wrapText="1"/>
      <protection locked="0"/>
    </xf>
    <xf numFmtId="166" fontId="2" fillId="0" borderId="1" xfId="1" applyNumberFormat="1" applyFont="1" applyFill="1" applyBorder="1" applyAlignment="1" applyProtection="1">
      <alignment horizontal="center" vertical="center" wrapText="1"/>
      <protection locked="0"/>
    </xf>
    <xf numFmtId="49" fontId="2" fillId="0" borderId="4" xfId="1" applyNumberFormat="1" applyFont="1" applyFill="1" applyBorder="1" applyAlignment="1">
      <alignment horizontal="center" vertical="center" wrapText="1"/>
    </xf>
    <xf numFmtId="0" fontId="2" fillId="0" borderId="6" xfId="1" applyFont="1" applyFill="1" applyBorder="1" applyAlignment="1">
      <alignment vertical="center" wrapText="1"/>
    </xf>
    <xf numFmtId="11" fontId="2" fillId="0" borderId="1" xfId="1" applyNumberFormat="1" applyFont="1" applyFill="1" applyBorder="1" applyAlignment="1" applyProtection="1">
      <alignment vertical="center" wrapText="1"/>
      <protection locked="0"/>
    </xf>
    <xf numFmtId="11" fontId="2" fillId="6" borderId="12" xfId="1" applyNumberFormat="1" applyFont="1" applyFill="1" applyBorder="1" applyAlignment="1" applyProtection="1">
      <alignment vertical="center" wrapText="1"/>
      <protection locked="0"/>
    </xf>
    <xf numFmtId="11" fontId="2" fillId="0" borderId="1" xfId="6" applyNumberFormat="1" applyFont="1" applyFill="1" applyBorder="1" applyAlignment="1">
      <alignment horizontal="center" vertical="center" wrapText="1"/>
    </xf>
    <xf numFmtId="11" fontId="2" fillId="0" borderId="1" xfId="9" applyNumberFormat="1" applyFont="1" applyFill="1" applyBorder="1" applyAlignment="1">
      <alignment horizontal="center" vertical="center" wrapText="1"/>
    </xf>
    <xf numFmtId="2" fontId="2" fillId="0" borderId="1" xfId="1" applyNumberFormat="1" applyFont="1" applyFill="1" applyBorder="1" applyAlignment="1" applyProtection="1">
      <alignment horizontal="left" vertical="center" wrapText="1"/>
      <protection locked="0"/>
    </xf>
    <xf numFmtId="0" fontId="2" fillId="0" borderId="4" xfId="1" applyFont="1" applyFill="1" applyBorder="1" applyAlignment="1">
      <alignment wrapText="1"/>
    </xf>
    <xf numFmtId="0" fontId="2" fillId="6" borderId="12" xfId="1" applyFont="1" applyFill="1" applyBorder="1" applyAlignment="1">
      <alignment wrapText="1"/>
    </xf>
    <xf numFmtId="0" fontId="2" fillId="6" borderId="12" xfId="1" applyFont="1" applyFill="1" applyBorder="1" applyAlignment="1" applyProtection="1">
      <alignment horizontal="left" vertical="center"/>
      <protection locked="0"/>
    </xf>
    <xf numFmtId="0" fontId="2" fillId="0" borderId="6" xfId="1" applyNumberFormat="1" applyFont="1" applyFill="1" applyBorder="1" applyAlignment="1" applyProtection="1">
      <alignment horizontal="left" vertical="center" wrapText="1"/>
      <protection locked="0"/>
    </xf>
    <xf numFmtId="167" fontId="2" fillId="0" borderId="6" xfId="1" applyNumberFormat="1" applyFont="1" applyFill="1" applyBorder="1" applyAlignment="1" applyProtection="1">
      <alignment horizontal="center" vertical="center" wrapText="1"/>
      <protection locked="0"/>
    </xf>
    <xf numFmtId="167" fontId="2" fillId="0" borderId="1" xfId="1" applyNumberFormat="1" applyFont="1" applyFill="1" applyBorder="1" applyAlignment="1" applyProtection="1">
      <alignment horizontal="center" vertical="center" wrapText="1"/>
      <protection locked="0"/>
    </xf>
    <xf numFmtId="0" fontId="2" fillId="0" borderId="6" xfId="1" quotePrefix="1" applyFont="1" applyFill="1" applyBorder="1" applyAlignment="1" applyProtection="1">
      <alignment horizontal="center" vertical="center" wrapText="1"/>
      <protection locked="0"/>
    </xf>
    <xf numFmtId="0" fontId="2" fillId="0" borderId="1" xfId="1" applyFont="1" applyFill="1" applyBorder="1"/>
    <xf numFmtId="11" fontId="2" fillId="0" borderId="1" xfId="1" applyNumberFormat="1" applyFont="1" applyFill="1" applyBorder="1"/>
    <xf numFmtId="0" fontId="2" fillId="0" borderId="1" xfId="1" applyFont="1" applyBorder="1"/>
    <xf numFmtId="0" fontId="2" fillId="0" borderId="0" xfId="1" applyFont="1" applyFill="1"/>
    <xf numFmtId="0" fontId="2" fillId="0" borderId="0" xfId="1" applyFont="1"/>
    <xf numFmtId="0" fontId="0" fillId="0" borderId="0" xfId="0" applyAlignment="1">
      <alignment wrapText="1"/>
    </xf>
    <xf numFmtId="0" fontId="2" fillId="0" borderId="0" xfId="1" applyFont="1" applyFill="1" applyBorder="1"/>
    <xf numFmtId="0" fontId="2" fillId="6" borderId="9" xfId="1" applyFont="1" applyFill="1" applyBorder="1"/>
    <xf numFmtId="0" fontId="2" fillId="0" borderId="9" xfId="1" applyFont="1" applyFill="1" applyBorder="1"/>
    <xf numFmtId="166" fontId="12" fillId="0" borderId="4" xfId="0" applyNumberFormat="1" applyFont="1" applyFill="1" applyBorder="1" applyAlignment="1">
      <alignment horizontal="center" vertical="center" wrapText="1"/>
    </xf>
    <xf numFmtId="11" fontId="12" fillId="0" borderId="1" xfId="0" applyNumberFormat="1" applyFont="1" applyFill="1" applyBorder="1" applyAlignment="1">
      <alignment horizontal="center" vertical="center" wrapText="1"/>
    </xf>
    <xf numFmtId="0" fontId="7" fillId="0" borderId="1" xfId="0" applyFont="1" applyFill="1" applyBorder="1" applyAlignment="1">
      <alignment horizontal="center"/>
    </xf>
    <xf numFmtId="14" fontId="4" fillId="0" borderId="1" xfId="0" applyNumberFormat="1" applyFont="1" applyFill="1" applyBorder="1" applyAlignment="1">
      <alignment horizontal="center" vertical="center" wrapText="1"/>
    </xf>
    <xf numFmtId="0" fontId="0" fillId="0" borderId="1" xfId="0" applyBorder="1" applyAlignment="1">
      <alignment wrapText="1"/>
    </xf>
    <xf numFmtId="0" fontId="11" fillId="7" borderId="1" xfId="1" applyFont="1" applyFill="1" applyBorder="1" applyAlignment="1" applyProtection="1">
      <alignment horizontal="center" vertical="center" wrapText="1"/>
    </xf>
    <xf numFmtId="0" fontId="12" fillId="0" borderId="0" xfId="0" applyFont="1" applyFill="1" applyAlignment="1">
      <alignment vertical="center" wrapText="1"/>
    </xf>
    <xf numFmtId="2" fontId="12" fillId="0" borderId="1" xfId="0" applyNumberFormat="1" applyFont="1" applyFill="1" applyBorder="1" applyAlignment="1" applyProtection="1">
      <alignment horizontal="center" vertical="center" wrapText="1"/>
      <protection hidden="1"/>
    </xf>
    <xf numFmtId="165" fontId="0" fillId="0" borderId="4" xfId="0" applyNumberFormat="1" applyBorder="1" applyAlignment="1">
      <alignment horizontal="center" vertical="center"/>
    </xf>
    <xf numFmtId="165" fontId="0" fillId="0" borderId="4" xfId="0" applyNumberFormat="1" applyFill="1" applyBorder="1" applyAlignment="1">
      <alignment horizontal="center" vertical="center"/>
    </xf>
    <xf numFmtId="165" fontId="0" fillId="0" borderId="4" xfId="0" applyNumberFormat="1" applyFill="1" applyBorder="1" applyAlignment="1">
      <alignment horizontal="center" vertical="center" wrapText="1"/>
    </xf>
    <xf numFmtId="11" fontId="12" fillId="0" borderId="1" xfId="0" applyNumberFormat="1" applyFont="1" applyFill="1" applyBorder="1" applyAlignment="1">
      <alignment horizontal="center" vertical="center"/>
    </xf>
    <xf numFmtId="11" fontId="16" fillId="0" borderId="1" xfId="0" applyNumberFormat="1" applyFont="1" applyFill="1" applyBorder="1" applyAlignment="1">
      <alignment horizontal="center" vertical="center"/>
    </xf>
    <xf numFmtId="166" fontId="12" fillId="0" borderId="4" xfId="0" applyNumberFormat="1" applyFont="1" applyFill="1" applyBorder="1" applyAlignment="1">
      <alignment horizontal="center" vertical="center"/>
    </xf>
    <xf numFmtId="166" fontId="0" fillId="0" borderId="4" xfId="0" applyNumberFormat="1" applyBorder="1" applyAlignment="1">
      <alignment horizontal="center" vertical="center"/>
    </xf>
    <xf numFmtId="0" fontId="12" fillId="0" borderId="1" xfId="0" applyNumberFormat="1" applyFont="1" applyBorder="1" applyAlignment="1">
      <alignment horizontal="center" vertical="center"/>
    </xf>
    <xf numFmtId="166" fontId="0" fillId="0" borderId="0" xfId="0" applyNumberFormat="1" applyFill="1" applyAlignment="1">
      <alignment horizontal="center" vertical="center"/>
    </xf>
    <xf numFmtId="167" fontId="0" fillId="0" borderId="4" xfId="0" applyNumberFormat="1" applyFill="1" applyBorder="1" applyAlignment="1">
      <alignment horizontal="center" vertical="center"/>
    </xf>
    <xf numFmtId="166" fontId="0" fillId="0" borderId="4" xfId="0" applyNumberFormat="1" applyFill="1" applyBorder="1" applyAlignment="1">
      <alignment horizontal="center" vertical="center" wrapText="1"/>
    </xf>
    <xf numFmtId="0" fontId="12" fillId="0" borderId="1" xfId="0" applyNumberFormat="1" applyFont="1" applyFill="1" applyBorder="1" applyAlignment="1">
      <alignment horizontal="center" vertical="center"/>
    </xf>
    <xf numFmtId="168" fontId="0" fillId="0" borderId="4" xfId="0" applyNumberFormat="1" applyFill="1" applyBorder="1" applyAlignment="1">
      <alignment horizontal="center" vertical="center"/>
    </xf>
    <xf numFmtId="0" fontId="0" fillId="0" borderId="4" xfId="0" applyFill="1" applyBorder="1" applyAlignment="1">
      <alignment horizontal="center" vertical="center"/>
    </xf>
    <xf numFmtId="168" fontId="0" fillId="0" borderId="4" xfId="0" applyNumberFormat="1" applyBorder="1" applyAlignment="1">
      <alignment horizontal="center" vertical="center"/>
    </xf>
    <xf numFmtId="0" fontId="0" fillId="0" borderId="4" xfId="0" applyBorder="1" applyAlignment="1">
      <alignment horizontal="center" vertical="center"/>
    </xf>
    <xf numFmtId="167" fontId="0" fillId="0" borderId="4" xfId="0" applyNumberFormat="1" applyBorder="1" applyAlignment="1">
      <alignment horizontal="center" vertical="center"/>
    </xf>
    <xf numFmtId="1" fontId="0" fillId="0" borderId="4" xfId="0" applyNumberFormat="1" applyBorder="1" applyAlignment="1">
      <alignment horizontal="center" vertical="center"/>
    </xf>
    <xf numFmtId="2" fontId="0" fillId="0" borderId="4" xfId="0" applyNumberFormat="1" applyBorder="1" applyAlignment="1">
      <alignment horizontal="center" vertical="center"/>
    </xf>
    <xf numFmtId="1" fontId="0" fillId="0" borderId="4" xfId="0" applyNumberFormat="1" applyFill="1" applyBorder="1" applyAlignment="1">
      <alignment horizontal="center" vertical="center"/>
    </xf>
    <xf numFmtId="166" fontId="0" fillId="0" borderId="1" xfId="0" applyNumberFormat="1" applyBorder="1" applyAlignment="1">
      <alignment horizontal="center" vertical="center"/>
    </xf>
    <xf numFmtId="0" fontId="32" fillId="0" borderId="0" xfId="0" applyFont="1" applyAlignment="1">
      <alignment horizontal="justify"/>
    </xf>
    <xf numFmtId="0" fontId="0" fillId="0" borderId="0" xfId="0" applyNumberFormat="1" applyAlignment="1">
      <alignment wrapText="1"/>
    </xf>
    <xf numFmtId="11" fontId="12" fillId="0" borderId="1" xfId="0" applyNumberFormat="1" applyFont="1" applyBorder="1" applyAlignment="1">
      <alignment horizontal="center" vertical="center"/>
    </xf>
    <xf numFmtId="11" fontId="0" fillId="0" borderId="4" xfId="0" applyNumberFormat="1" applyBorder="1" applyAlignment="1">
      <alignment horizontal="center" vertical="center"/>
    </xf>
    <xf numFmtId="11" fontId="0" fillId="0" borderId="4" xfId="0" applyNumberFormat="1" applyFill="1" applyBorder="1" applyAlignment="1">
      <alignment horizontal="center" vertical="center"/>
    </xf>
    <xf numFmtId="11" fontId="12" fillId="0" borderId="4" xfId="0" applyNumberFormat="1" applyFont="1" applyFill="1" applyBorder="1" applyAlignment="1">
      <alignment horizontal="center" vertical="center" wrapText="1"/>
    </xf>
    <xf numFmtId="11" fontId="12" fillId="0" borderId="4" xfId="0" applyNumberFormat="1" applyFont="1" applyFill="1" applyBorder="1" applyAlignment="1">
      <alignment horizontal="center" vertical="center"/>
    </xf>
    <xf numFmtId="11" fontId="0" fillId="0" borderId="0" xfId="0" applyNumberFormat="1" applyFill="1" applyAlignment="1">
      <alignment horizontal="center" vertical="center"/>
    </xf>
    <xf numFmtId="11" fontId="0" fillId="0" borderId="1" xfId="0" applyNumberFormat="1" applyBorder="1" applyAlignment="1">
      <alignment horizontal="center" vertical="center"/>
    </xf>
    <xf numFmtId="11" fontId="0" fillId="0" borderId="1" xfId="0" applyNumberFormat="1" applyFill="1" applyBorder="1" applyAlignment="1">
      <alignment horizontal="center" vertical="center"/>
    </xf>
    <xf numFmtId="0" fontId="0" fillId="0" borderId="1" xfId="0" applyBorder="1" applyAlignment="1">
      <alignment wrapText="1"/>
    </xf>
    <xf numFmtId="2" fontId="12" fillId="0" borderId="4" xfId="0" applyNumberFormat="1" applyFont="1" applyBorder="1" applyAlignment="1" applyProtection="1">
      <alignment horizontal="center" vertical="center" wrapText="1"/>
      <protection hidden="1"/>
    </xf>
    <xf numFmtId="2" fontId="12" fillId="0" borderId="3" xfId="0" applyNumberFormat="1" applyFont="1" applyBorder="1" applyAlignment="1" applyProtection="1">
      <alignment horizontal="center" vertical="center" wrapText="1"/>
      <protection hidden="1"/>
    </xf>
    <xf numFmtId="2" fontId="12" fillId="0" borderId="6" xfId="0" applyNumberFormat="1" applyFont="1" applyBorder="1" applyAlignment="1" applyProtection="1">
      <alignment horizontal="center" vertical="center" wrapText="1"/>
      <protection hidden="1"/>
    </xf>
    <xf numFmtId="2" fontId="12" fillId="0" borderId="0" xfId="0" applyNumberFormat="1" applyFont="1" applyBorder="1" applyAlignment="1" applyProtection="1">
      <alignment horizontal="center" vertical="center" wrapText="1"/>
      <protection hidden="1"/>
    </xf>
    <xf numFmtId="2" fontId="12" fillId="0" borderId="0" xfId="0" applyNumberFormat="1" applyFont="1" applyBorder="1" applyAlignment="1">
      <alignment horizontal="center" vertical="center"/>
    </xf>
    <xf numFmtId="0" fontId="12" fillId="0" borderId="0" xfId="0" applyFont="1" applyFill="1" applyBorder="1" applyAlignment="1">
      <alignment horizontal="center" vertical="center"/>
    </xf>
    <xf numFmtId="11" fontId="0" fillId="0" borderId="0" xfId="0" applyNumberFormat="1" applyBorder="1" applyAlignment="1">
      <alignment horizontal="center" vertical="center"/>
    </xf>
    <xf numFmtId="0" fontId="0" fillId="0" borderId="0" xfId="0" applyBorder="1" applyAlignment="1">
      <alignment horizontal="center" vertical="center"/>
    </xf>
    <xf numFmtId="11" fontId="12" fillId="0" borderId="0" xfId="0" applyNumberFormat="1" applyFont="1" applyFill="1" applyBorder="1" applyAlignment="1">
      <alignment horizontal="center" vertical="center"/>
    </xf>
    <xf numFmtId="0" fontId="12" fillId="0" borderId="0" xfId="0" applyFont="1" applyFill="1" applyBorder="1" applyAlignment="1">
      <alignment horizontal="center" wrapText="1"/>
    </xf>
    <xf numFmtId="0" fontId="12" fillId="0" borderId="0" xfId="0" applyFont="1" applyFill="1" applyBorder="1" applyAlignment="1">
      <alignment horizontal="center"/>
    </xf>
    <xf numFmtId="0" fontId="0" fillId="0" borderId="0" xfId="0"/>
    <xf numFmtId="0" fontId="0" fillId="0" borderId="1" xfId="0" applyBorder="1" applyAlignment="1">
      <alignment horizontal="center"/>
    </xf>
    <xf numFmtId="0" fontId="0" fillId="0" borderId="1" xfId="0" applyBorder="1"/>
    <xf numFmtId="0" fontId="12" fillId="0" borderId="1" xfId="0" applyFont="1" applyBorder="1" applyAlignment="1">
      <alignment horizontal="center"/>
    </xf>
    <xf numFmtId="0" fontId="0" fillId="0" borderId="0" xfId="0"/>
    <xf numFmtId="0" fontId="0" fillId="0" borderId="1" xfId="0" applyFill="1" applyBorder="1" applyAlignment="1">
      <alignment horizontal="center"/>
    </xf>
    <xf numFmtId="1" fontId="2" fillId="0" borderId="1" xfId="1" applyNumberFormat="1" applyBorder="1" applyAlignment="1">
      <alignment horizontal="center"/>
    </xf>
    <xf numFmtId="2" fontId="2" fillId="0" borderId="1" xfId="1" applyNumberFormat="1" applyBorder="1" applyAlignment="1">
      <alignment horizontal="center"/>
    </xf>
    <xf numFmtId="0" fontId="0" fillId="0" borderId="1" xfId="0" applyBorder="1" applyAlignment="1">
      <alignment horizontal="center"/>
    </xf>
    <xf numFmtId="11" fontId="0" fillId="5" borderId="1" xfId="0" applyNumberFormat="1" applyFill="1" applyBorder="1" applyAlignment="1">
      <alignment horizontal="center"/>
    </xf>
    <xf numFmtId="11" fontId="0" fillId="0" borderId="1" xfId="0" applyNumberFormat="1" applyBorder="1" applyAlignment="1">
      <alignment horizontal="center"/>
    </xf>
    <xf numFmtId="0" fontId="0" fillId="0" borderId="0" xfId="0"/>
    <xf numFmtId="0" fontId="0" fillId="0" borderId="0" xfId="0" applyAlignment="1">
      <alignment horizontal="center"/>
    </xf>
    <xf numFmtId="0" fontId="0" fillId="0" borderId="1" xfId="0" applyBorder="1" applyAlignment="1">
      <alignment horizontal="center"/>
    </xf>
    <xf numFmtId="0" fontId="0" fillId="0" borderId="1" xfId="0" applyFill="1" applyBorder="1" applyAlignment="1">
      <alignment horizontal="center"/>
    </xf>
    <xf numFmtId="0" fontId="0" fillId="0" borderId="1" xfId="0" applyFill="1" applyBorder="1"/>
    <xf numFmtId="0" fontId="0" fillId="0" borderId="0" xfId="0" applyFont="1" applyFill="1" applyBorder="1" applyAlignment="1">
      <alignment horizontal="center"/>
    </xf>
    <xf numFmtId="11" fontId="0" fillId="0" borderId="1" xfId="0" applyNumberFormat="1" applyFill="1" applyBorder="1" applyAlignment="1">
      <alignment horizontal="center"/>
    </xf>
    <xf numFmtId="0" fontId="0" fillId="0" borderId="0" xfId="0" applyBorder="1"/>
    <xf numFmtId="0" fontId="0" fillId="0" borderId="1" xfId="0" applyFont="1" applyBorder="1" applyAlignment="1">
      <alignment horizontal="center" vertical="center"/>
    </xf>
    <xf numFmtId="0" fontId="0" fillId="0" borderId="1" xfId="0" applyFont="1" applyFill="1" applyBorder="1" applyAlignment="1">
      <alignment horizontal="center" vertical="center"/>
    </xf>
    <xf numFmtId="0" fontId="12" fillId="0" borderId="1" xfId="0" applyFont="1" applyFill="1" applyBorder="1" applyAlignment="1">
      <alignment horizontal="center"/>
    </xf>
    <xf numFmtId="0" fontId="12" fillId="0" borderId="1" xfId="0" applyFont="1" applyBorder="1" applyAlignment="1">
      <alignment horizontal="center"/>
    </xf>
    <xf numFmtId="1" fontId="0" fillId="0" borderId="1" xfId="0" applyNumberFormat="1" applyFill="1" applyBorder="1" applyAlignment="1">
      <alignment horizontal="center"/>
    </xf>
    <xf numFmtId="0" fontId="0" fillId="0" borderId="1" xfId="0" applyFill="1" applyBorder="1" applyAlignment="1">
      <alignment horizontal="center" vertical="center"/>
    </xf>
    <xf numFmtId="2" fontId="0" fillId="0" borderId="1" xfId="0" applyNumberFormat="1" applyBorder="1" applyAlignment="1">
      <alignment horizontal="center" vertical="center"/>
    </xf>
    <xf numFmtId="0" fontId="0" fillId="0" borderId="0" xfId="0" applyFill="1"/>
    <xf numFmtId="0" fontId="30" fillId="0" borderId="1" xfId="1" applyFont="1" applyFill="1" applyBorder="1" applyAlignment="1" applyProtection="1">
      <alignment horizontal="left" vertical="center" wrapText="1"/>
      <protection locked="0"/>
    </xf>
    <xf numFmtId="0" fontId="30" fillId="0" borderId="1" xfId="1" applyFont="1" applyFill="1" applyBorder="1" applyAlignment="1" applyProtection="1">
      <alignment horizontal="center" vertical="center" wrapText="1"/>
      <protection locked="0"/>
    </xf>
    <xf numFmtId="2" fontId="30" fillId="0" borderId="1" xfId="1" applyNumberFormat="1" applyFont="1" applyFill="1" applyBorder="1" applyAlignment="1" applyProtection="1">
      <alignment horizontal="center" vertical="center" wrapText="1"/>
      <protection locked="0"/>
    </xf>
    <xf numFmtId="168" fontId="30" fillId="0" borderId="1" xfId="1" applyNumberFormat="1" applyFont="1" applyFill="1" applyBorder="1" applyAlignment="1" applyProtection="1">
      <alignment horizontal="center" vertical="center" wrapText="1"/>
      <protection locked="0"/>
    </xf>
    <xf numFmtId="0" fontId="30" fillId="0" borderId="1" xfId="1" applyNumberFormat="1" applyFont="1" applyFill="1" applyBorder="1" applyAlignment="1" applyProtection="1">
      <alignment horizontal="left" vertical="center" wrapText="1"/>
      <protection locked="0"/>
    </xf>
    <xf numFmtId="0" fontId="30" fillId="0" borderId="1" xfId="1" applyFont="1" applyFill="1" applyBorder="1" applyAlignment="1" applyProtection="1">
      <alignment horizontal="center" vertical="center" wrapText="1"/>
      <protection locked="0"/>
    </xf>
    <xf numFmtId="166" fontId="30" fillId="0" borderId="1" xfId="1" applyNumberFormat="1" applyFont="1" applyFill="1" applyBorder="1" applyAlignment="1" applyProtection="1">
      <alignment horizontal="center" vertical="center" wrapText="1"/>
      <protection locked="0"/>
    </xf>
    <xf numFmtId="0" fontId="30" fillId="0" borderId="1" xfId="1" applyNumberFormat="1" applyFont="1" applyFill="1" applyBorder="1" applyAlignment="1" applyProtection="1">
      <alignment horizontal="left" vertical="center" wrapText="1"/>
      <protection locked="0"/>
    </xf>
    <xf numFmtId="0" fontId="30" fillId="0" borderId="1" xfId="1" applyFont="1" applyFill="1" applyBorder="1" applyAlignment="1" applyProtection="1">
      <alignment horizontal="left" vertical="center" wrapText="1"/>
      <protection locked="0"/>
    </xf>
    <xf numFmtId="0" fontId="30" fillId="0" borderId="1" xfId="1" applyNumberFormat="1" applyFont="1" applyFill="1" applyBorder="1" applyAlignment="1" applyProtection="1">
      <alignment horizontal="left" vertical="center" wrapText="1"/>
      <protection locked="0"/>
    </xf>
    <xf numFmtId="0" fontId="30" fillId="0" borderId="1" xfId="1" applyFont="1" applyFill="1" applyBorder="1" applyAlignment="1" applyProtection="1">
      <alignment horizontal="left" vertical="center" wrapText="1"/>
      <protection locked="0"/>
    </xf>
    <xf numFmtId="0" fontId="30" fillId="0" borderId="1" xfId="1" applyFont="1" applyFill="1" applyBorder="1" applyAlignment="1" applyProtection="1">
      <alignment horizontal="center" vertical="center" wrapText="1"/>
      <protection locked="0"/>
    </xf>
    <xf numFmtId="0" fontId="30" fillId="0" borderId="1" xfId="1" applyFont="1" applyFill="1" applyBorder="1" applyAlignment="1" applyProtection="1">
      <alignment horizontal="left" vertical="center" wrapText="1"/>
      <protection locked="0"/>
    </xf>
    <xf numFmtId="0" fontId="30" fillId="0" borderId="1" xfId="1" applyFont="1" applyFill="1" applyBorder="1" applyAlignment="1" applyProtection="1">
      <alignment horizontal="center" vertical="center" wrapText="1"/>
      <protection locked="0"/>
    </xf>
    <xf numFmtId="0" fontId="30" fillId="0" borderId="1" xfId="1" applyFont="1" applyFill="1" applyBorder="1" applyAlignment="1" applyProtection="1">
      <alignment horizontal="left" vertical="center" wrapText="1"/>
      <protection locked="0"/>
    </xf>
    <xf numFmtId="11" fontId="30" fillId="0" borderId="1" xfId="1" applyNumberFormat="1" applyFont="1" applyFill="1" applyBorder="1" applyAlignment="1" applyProtection="1">
      <alignment horizontal="center" vertical="center" wrapText="1"/>
      <protection locked="0"/>
    </xf>
    <xf numFmtId="0" fontId="30" fillId="0" borderId="1" xfId="1" applyFont="1" applyFill="1" applyBorder="1" applyAlignment="1" applyProtection="1">
      <alignment horizontal="left" vertical="center" wrapText="1"/>
      <protection locked="0"/>
    </xf>
    <xf numFmtId="11" fontId="30" fillId="0" borderId="1" xfId="1" applyNumberFormat="1" applyFont="1" applyFill="1" applyBorder="1" applyAlignment="1" applyProtection="1">
      <alignment horizontal="center" vertical="center" wrapText="1"/>
      <protection locked="0"/>
    </xf>
    <xf numFmtId="0" fontId="30" fillId="0" borderId="1" xfId="1" applyFont="1" applyFill="1" applyBorder="1" applyAlignment="1" applyProtection="1">
      <alignment horizontal="left" vertical="center" wrapText="1"/>
      <protection locked="0"/>
    </xf>
    <xf numFmtId="11" fontId="30" fillId="0" borderId="1" xfId="1" applyNumberFormat="1" applyFont="1" applyFill="1" applyBorder="1" applyAlignment="1" applyProtection="1">
      <alignment horizontal="center" vertical="center" wrapText="1"/>
      <protection locked="0"/>
    </xf>
    <xf numFmtId="0" fontId="2" fillId="0" borderId="1" xfId="1" applyBorder="1" applyAlignment="1">
      <alignment horizontal="center" vertical="center" wrapText="1"/>
    </xf>
    <xf numFmtId="0" fontId="2" fillId="0" borderId="1" xfId="1" applyBorder="1" applyAlignment="1">
      <alignment horizontal="center" vertical="center"/>
    </xf>
    <xf numFmtId="11" fontId="0" fillId="0" borderId="0" xfId="0" applyNumberFormat="1" applyAlignment="1">
      <alignment horizontal="center"/>
    </xf>
    <xf numFmtId="0" fontId="12" fillId="0" borderId="1" xfId="0" applyFont="1" applyFill="1" applyBorder="1" applyAlignment="1">
      <alignment horizontal="left" wrapText="1"/>
    </xf>
    <xf numFmtId="11" fontId="12" fillId="0" borderId="1" xfId="0" applyNumberFormat="1" applyFont="1" applyFill="1" applyBorder="1" applyAlignment="1">
      <alignment horizontal="left" wrapText="1"/>
    </xf>
    <xf numFmtId="0" fontId="0" fillId="0" borderId="0" xfId="0"/>
    <xf numFmtId="0" fontId="0" fillId="0" borderId="0" xfId="0"/>
    <xf numFmtId="0" fontId="0" fillId="0" borderId="0" xfId="0"/>
    <xf numFmtId="0" fontId="0" fillId="0" borderId="1" xfId="0" applyBorder="1" applyAlignment="1">
      <alignment horizontal="center" vertical="center"/>
    </xf>
    <xf numFmtId="0" fontId="0" fillId="0" borderId="0" xfId="0"/>
    <xf numFmtId="0" fontId="0" fillId="0" borderId="1" xfId="0" applyBorder="1" applyAlignment="1">
      <alignment horizontal="center"/>
    </xf>
    <xf numFmtId="0" fontId="15" fillId="0" borderId="1" xfId="0" applyFont="1" applyFill="1" applyBorder="1" applyAlignment="1">
      <alignment horizontal="center" vertical="center"/>
    </xf>
    <xf numFmtId="2" fontId="0" fillId="0" borderId="1" xfId="0" applyNumberFormat="1" applyBorder="1" applyAlignment="1">
      <alignment horizontal="center"/>
    </xf>
    <xf numFmtId="166" fontId="12" fillId="14" borderId="1" xfId="0" applyNumberFormat="1" applyFont="1" applyFill="1" applyBorder="1" applyAlignment="1">
      <alignment horizontal="center"/>
    </xf>
    <xf numFmtId="167" fontId="12" fillId="14" borderId="1" xfId="0" applyNumberFormat="1" applyFont="1" applyFill="1" applyBorder="1" applyAlignment="1">
      <alignment horizontal="center"/>
    </xf>
    <xf numFmtId="0" fontId="12" fillId="14" borderId="1" xfId="0" applyFont="1" applyFill="1" applyBorder="1" applyAlignment="1">
      <alignment horizontal="center"/>
    </xf>
    <xf numFmtId="2" fontId="12" fillId="14" borderId="1" xfId="0" applyNumberFormat="1" applyFont="1" applyFill="1" applyBorder="1" applyAlignment="1">
      <alignment horizontal="center" vertical="center"/>
    </xf>
    <xf numFmtId="1" fontId="12" fillId="14" borderId="1" xfId="0" applyNumberFormat="1" applyFont="1" applyFill="1" applyBorder="1" applyAlignment="1">
      <alignment horizontal="center"/>
    </xf>
    <xf numFmtId="2" fontId="12" fillId="14" borderId="1" xfId="0" applyNumberFormat="1" applyFont="1" applyFill="1" applyBorder="1" applyAlignment="1">
      <alignment horizontal="center"/>
    </xf>
    <xf numFmtId="0" fontId="33" fillId="4" borderId="0" xfId="0" applyFont="1" applyFill="1" applyAlignment="1">
      <alignment horizontal="left"/>
    </xf>
    <xf numFmtId="0" fontId="0" fillId="0" borderId="0" xfId="0"/>
    <xf numFmtId="0" fontId="0" fillId="0" borderId="1" xfId="0" applyBorder="1"/>
    <xf numFmtId="0" fontId="0" fillId="0" borderId="1" xfId="0" applyBorder="1" applyAlignment="1">
      <alignment horizontal="center"/>
    </xf>
    <xf numFmtId="0" fontId="15" fillId="0" borderId="1" xfId="0" applyFont="1" applyFill="1" applyBorder="1" applyAlignment="1">
      <alignment vertical="center"/>
    </xf>
    <xf numFmtId="0" fontId="17" fillId="0" borderId="1" xfId="0" applyFont="1" applyFill="1" applyBorder="1" applyAlignment="1" applyProtection="1">
      <alignment horizontal="center" vertical="center" wrapText="1"/>
      <protection hidden="1"/>
    </xf>
    <xf numFmtId="11" fontId="20" fillId="0" borderId="1" xfId="0" applyNumberFormat="1" applyFont="1" applyFill="1" applyBorder="1" applyAlignment="1">
      <alignment horizontal="center"/>
    </xf>
    <xf numFmtId="166" fontId="12" fillId="0" borderId="1" xfId="0" applyNumberFormat="1" applyFont="1" applyFill="1" applyBorder="1" applyAlignment="1">
      <alignment horizontal="center"/>
    </xf>
    <xf numFmtId="2" fontId="20" fillId="0" borderId="1" xfId="0" applyNumberFormat="1" applyFont="1" applyFill="1" applyBorder="1" applyAlignment="1">
      <alignment horizontal="center" vertical="center"/>
    </xf>
    <xf numFmtId="1" fontId="12" fillId="0" borderId="1" xfId="0" applyNumberFormat="1" applyFont="1" applyFill="1" applyBorder="1" applyAlignment="1">
      <alignment horizontal="center"/>
    </xf>
    <xf numFmtId="167" fontId="12" fillId="0" borderId="1" xfId="0" applyNumberFormat="1" applyFont="1" applyFill="1" applyBorder="1" applyAlignment="1">
      <alignment horizontal="center"/>
    </xf>
    <xf numFmtId="169" fontId="20" fillId="0" borderId="1" xfId="0" applyNumberFormat="1" applyFont="1" applyFill="1" applyBorder="1" applyAlignment="1">
      <alignment horizontal="center"/>
    </xf>
    <xf numFmtId="168" fontId="12" fillId="0" borderId="1" xfId="0" applyNumberFormat="1" applyFont="1" applyFill="1" applyBorder="1" applyAlignment="1">
      <alignment horizontal="center"/>
    </xf>
    <xf numFmtId="11" fontId="12" fillId="0" borderId="1" xfId="0" applyNumberFormat="1" applyFont="1" applyFill="1" applyBorder="1" applyAlignment="1" applyProtection="1">
      <alignment horizontal="center" vertical="center" wrapText="1"/>
      <protection hidden="1"/>
    </xf>
    <xf numFmtId="0" fontId="12" fillId="0" borderId="1" xfId="0" applyFont="1" applyFill="1" applyBorder="1" applyAlignment="1" applyProtection="1">
      <alignment horizontal="center" vertical="center" wrapText="1"/>
      <protection hidden="1"/>
    </xf>
    <xf numFmtId="2" fontId="20" fillId="0" borderId="1" xfId="0" applyNumberFormat="1" applyFont="1" applyFill="1" applyBorder="1" applyAlignment="1">
      <alignment horizontal="left"/>
    </xf>
    <xf numFmtId="1" fontId="2" fillId="0" borderId="1" xfId="1" applyNumberFormat="1" applyFill="1" applyBorder="1" applyAlignment="1">
      <alignment horizontal="center"/>
    </xf>
    <xf numFmtId="2" fontId="2" fillId="0" borderId="1" xfId="1" applyNumberFormat="1" applyFill="1" applyBorder="1" applyAlignment="1">
      <alignment horizontal="center"/>
    </xf>
    <xf numFmtId="0" fontId="12" fillId="0" borderId="1" xfId="0" applyFont="1" applyFill="1" applyBorder="1" applyAlignment="1">
      <alignment horizontal="left" vertical="center" wrapText="1"/>
    </xf>
    <xf numFmtId="0" fontId="12" fillId="0" borderId="3" xfId="0" applyFont="1" applyFill="1" applyBorder="1" applyAlignment="1">
      <alignment horizontal="center"/>
    </xf>
    <xf numFmtId="0" fontId="15" fillId="4" borderId="1" xfId="0" applyFont="1" applyFill="1" applyBorder="1" applyAlignment="1">
      <alignment horizontal="center" vertical="center" wrapText="1"/>
    </xf>
    <xf numFmtId="0" fontId="0" fillId="0" borderId="1" xfId="0" applyBorder="1"/>
    <xf numFmtId="0" fontId="15" fillId="11" borderId="1" xfId="0" applyFont="1" applyFill="1" applyBorder="1" applyAlignment="1">
      <alignment horizontal="center" vertical="center" wrapText="1"/>
    </xf>
    <xf numFmtId="0" fontId="15" fillId="9" borderId="1" xfId="0" applyFont="1" applyFill="1" applyBorder="1" applyAlignment="1">
      <alignment horizontal="center" vertical="center" wrapText="1"/>
    </xf>
    <xf numFmtId="0" fontId="15" fillId="12" borderId="1" xfId="0" applyFont="1" applyFill="1" applyBorder="1" applyAlignment="1">
      <alignment horizontal="center" vertical="center" wrapText="1"/>
    </xf>
    <xf numFmtId="0" fontId="15" fillId="10" borderId="1" xfId="0" applyFont="1" applyFill="1" applyBorder="1" applyAlignment="1">
      <alignment horizontal="center" vertical="center" wrapText="1"/>
    </xf>
    <xf numFmtId="0" fontId="13" fillId="13" borderId="1" xfId="0" applyFont="1" applyFill="1" applyBorder="1" applyAlignment="1">
      <alignment horizontal="center" vertical="center"/>
    </xf>
    <xf numFmtId="0" fontId="0" fillId="0" borderId="1" xfId="0" applyBorder="1" applyAlignment="1">
      <alignment horizontal="center"/>
    </xf>
    <xf numFmtId="0" fontId="15" fillId="4" borderId="1" xfId="0" applyFont="1" applyFill="1" applyBorder="1" applyAlignment="1">
      <alignment horizontal="center" vertical="center" wrapText="1"/>
    </xf>
    <xf numFmtId="0" fontId="0" fillId="0" borderId="1" xfId="0" applyBorder="1"/>
    <xf numFmtId="0" fontId="15" fillId="11" borderId="1" xfId="0" applyFont="1" applyFill="1" applyBorder="1" applyAlignment="1">
      <alignment horizontal="center" vertical="center" wrapText="1"/>
    </xf>
    <xf numFmtId="0" fontId="15" fillId="9" borderId="1" xfId="0" applyFont="1" applyFill="1" applyBorder="1" applyAlignment="1">
      <alignment horizontal="center" vertical="center" wrapText="1"/>
    </xf>
    <xf numFmtId="0" fontId="15" fillId="12" borderId="1" xfId="0" applyFont="1" applyFill="1" applyBorder="1" applyAlignment="1">
      <alignment horizontal="center" vertical="center" wrapText="1"/>
    </xf>
    <xf numFmtId="0" fontId="15" fillId="10" borderId="1" xfId="0" applyFont="1" applyFill="1" applyBorder="1" applyAlignment="1">
      <alignment horizontal="center" vertical="center" wrapText="1"/>
    </xf>
    <xf numFmtId="0" fontId="13" fillId="13" borderId="1" xfId="0" applyFont="1" applyFill="1" applyBorder="1" applyAlignment="1">
      <alignment horizontal="center" vertical="center"/>
    </xf>
    <xf numFmtId="0" fontId="0" fillId="0" borderId="1" xfId="0" applyBorder="1" applyAlignment="1">
      <alignment horizontal="center"/>
    </xf>
    <xf numFmtId="0" fontId="13" fillId="0" borderId="0" xfId="0" applyFont="1"/>
    <xf numFmtId="0" fontId="2" fillId="14" borderId="1" xfId="1" applyFont="1" applyFill="1" applyBorder="1" applyAlignment="1">
      <alignment horizontal="center" vertical="center" wrapText="1"/>
    </xf>
    <xf numFmtId="0" fontId="2" fillId="14" borderId="1" xfId="1" applyFont="1" applyFill="1" applyBorder="1" applyAlignment="1" applyProtection="1">
      <alignment horizontal="center" vertical="center" wrapText="1"/>
      <protection locked="0"/>
    </xf>
    <xf numFmtId="0" fontId="2" fillId="14" borderId="6" xfId="1" applyFont="1" applyFill="1" applyBorder="1" applyAlignment="1" applyProtection="1">
      <alignment horizontal="center" vertical="center" wrapText="1"/>
      <protection locked="0"/>
    </xf>
    <xf numFmtId="2" fontId="2" fillId="14" borderId="1" xfId="1" applyNumberFormat="1" applyFont="1" applyFill="1" applyBorder="1" applyAlignment="1" applyProtection="1">
      <alignment horizontal="center" vertical="center" wrapText="1"/>
      <protection locked="0"/>
    </xf>
    <xf numFmtId="0" fontId="2" fillId="14" borderId="1" xfId="1" applyNumberFormat="1" applyFont="1" applyFill="1" applyBorder="1" applyAlignment="1" applyProtection="1">
      <alignment horizontal="center" vertical="center" wrapText="1"/>
      <protection locked="0"/>
    </xf>
    <xf numFmtId="11" fontId="2" fillId="14" borderId="1" xfId="1" applyNumberFormat="1" applyFont="1" applyFill="1" applyBorder="1" applyAlignment="1" applyProtection="1">
      <alignment horizontal="left" vertical="center" wrapText="1"/>
      <protection locked="0"/>
    </xf>
    <xf numFmtId="11" fontId="2" fillId="14" borderId="1" xfId="1" applyNumberFormat="1" applyFont="1" applyFill="1" applyBorder="1" applyAlignment="1" applyProtection="1">
      <alignment horizontal="center" vertical="center" wrapText="1"/>
      <protection locked="0"/>
    </xf>
    <xf numFmtId="0" fontId="2" fillId="14" borderId="1" xfId="1" applyFont="1" applyFill="1" applyBorder="1" applyAlignment="1" applyProtection="1">
      <alignment horizontal="left" vertical="center" wrapText="1"/>
      <protection locked="0"/>
    </xf>
    <xf numFmtId="0" fontId="2" fillId="14" borderId="6" xfId="1" applyFont="1" applyFill="1" applyBorder="1" applyAlignment="1" applyProtection="1">
      <alignment horizontal="left" vertical="center" wrapText="1"/>
      <protection locked="0"/>
    </xf>
    <xf numFmtId="0" fontId="2" fillId="14" borderId="1" xfId="1" applyNumberFormat="1" applyFont="1" applyFill="1" applyBorder="1" applyAlignment="1" applyProtection="1">
      <alignment horizontal="left" vertical="center" wrapText="1"/>
      <protection locked="0"/>
    </xf>
    <xf numFmtId="0" fontId="2" fillId="14" borderId="1" xfId="1" applyFont="1" applyFill="1" applyBorder="1" applyAlignment="1">
      <alignment vertical="center" wrapText="1"/>
    </xf>
    <xf numFmtId="0" fontId="2" fillId="14" borderId="1" xfId="1" applyFont="1" applyFill="1" applyBorder="1" applyAlignment="1">
      <alignment horizontal="left" vertical="center" wrapText="1"/>
    </xf>
    <xf numFmtId="2" fontId="2" fillId="14" borderId="1" xfId="1" applyNumberFormat="1" applyFont="1" applyFill="1" applyBorder="1" applyAlignment="1">
      <alignment horizontal="center" vertical="center" wrapText="1"/>
    </xf>
    <xf numFmtId="0" fontId="2" fillId="14" borderId="1" xfId="1" applyNumberFormat="1" applyFont="1" applyFill="1" applyBorder="1" applyAlignment="1">
      <alignment horizontal="center" vertical="center" wrapText="1"/>
    </xf>
    <xf numFmtId="11" fontId="2" fillId="14" borderId="1" xfId="1" applyNumberFormat="1" applyFont="1" applyFill="1" applyBorder="1" applyAlignment="1">
      <alignment horizontal="left" vertical="center" wrapText="1"/>
    </xf>
    <xf numFmtId="0" fontId="2" fillId="14" borderId="1" xfId="1" applyNumberFormat="1" applyFont="1" applyFill="1" applyBorder="1" applyAlignment="1">
      <alignment horizontal="left" vertical="center" wrapText="1"/>
    </xf>
    <xf numFmtId="0" fontId="2" fillId="14" borderId="1" xfId="1" quotePrefix="1" applyFont="1" applyFill="1" applyBorder="1" applyAlignment="1" applyProtection="1">
      <alignment horizontal="left" vertical="center" wrapText="1"/>
      <protection locked="0"/>
    </xf>
    <xf numFmtId="0" fontId="2" fillId="14" borderId="6" xfId="1" applyFont="1" applyFill="1" applyBorder="1" applyAlignment="1">
      <alignment horizontal="center" vertical="center" wrapText="1"/>
    </xf>
    <xf numFmtId="11" fontId="2" fillId="14" borderId="1" xfId="1" applyNumberFormat="1" applyFont="1" applyFill="1" applyBorder="1" applyAlignment="1">
      <alignment horizontal="center" vertical="center" wrapText="1"/>
    </xf>
    <xf numFmtId="0" fontId="2" fillId="14" borderId="6" xfId="1" applyFont="1" applyFill="1" applyBorder="1" applyAlignment="1" applyProtection="1">
      <alignment vertical="center" wrapText="1"/>
      <protection locked="0"/>
    </xf>
    <xf numFmtId="0" fontId="2" fillId="14" borderId="1" xfId="1" applyFont="1" applyFill="1" applyBorder="1" applyAlignment="1" applyProtection="1">
      <alignment vertical="center" wrapText="1"/>
      <protection locked="0"/>
    </xf>
    <xf numFmtId="0" fontId="2" fillId="14" borderId="1" xfId="1" applyNumberFormat="1" applyFont="1" applyFill="1" applyBorder="1" applyAlignment="1" applyProtection="1">
      <alignment vertical="center" wrapText="1"/>
      <protection locked="0"/>
    </xf>
    <xf numFmtId="11" fontId="2" fillId="14" borderId="1" xfId="1" applyNumberFormat="1" applyFont="1" applyFill="1" applyBorder="1" applyAlignment="1">
      <alignment vertical="center" wrapText="1"/>
    </xf>
    <xf numFmtId="2" fontId="2" fillId="14" borderId="6" xfId="1" applyNumberFormat="1" applyFont="1" applyFill="1" applyBorder="1" applyAlignment="1" applyProtection="1">
      <alignment horizontal="center" vertical="center" wrapText="1"/>
      <protection locked="0"/>
    </xf>
    <xf numFmtId="0" fontId="2" fillId="14" borderId="6" xfId="1" applyFont="1" applyFill="1" applyBorder="1" applyAlignment="1">
      <alignment horizontal="left" vertical="center" wrapText="1"/>
    </xf>
    <xf numFmtId="0" fontId="2" fillId="14" borderId="1" xfId="1" quotePrefix="1" applyNumberFormat="1" applyFont="1" applyFill="1" applyBorder="1" applyAlignment="1" applyProtection="1">
      <alignment horizontal="left" vertical="center" wrapText="1"/>
      <protection locked="0"/>
    </xf>
    <xf numFmtId="167" fontId="2" fillId="14" borderId="6" xfId="1" applyNumberFormat="1" applyFont="1" applyFill="1" applyBorder="1" applyAlignment="1" applyProtection="1">
      <alignment horizontal="center" vertical="center" wrapText="1"/>
      <protection locked="0"/>
    </xf>
    <xf numFmtId="0" fontId="4" fillId="8" borderId="1" xfId="0" applyFont="1" applyFill="1" applyBorder="1" applyAlignment="1">
      <alignment horizontal="left" vertical="center" wrapText="1"/>
    </xf>
    <xf numFmtId="49" fontId="0" fillId="0" borderId="0" xfId="0" applyNumberFormat="1"/>
    <xf numFmtId="0" fontId="4" fillId="0" borderId="0" xfId="0" applyFont="1" applyFill="1" applyAlignment="1">
      <alignment horizontal="center" vertical="center" wrapText="1"/>
    </xf>
    <xf numFmtId="0" fontId="4" fillId="0" borderId="1" xfId="0" applyFont="1" applyBorder="1" applyAlignment="1">
      <alignment horizontal="center" vertical="center" wrapText="1"/>
    </xf>
    <xf numFmtId="0" fontId="7" fillId="0" borderId="1" xfId="0" applyFont="1" applyBorder="1" applyAlignment="1">
      <alignment wrapText="1"/>
    </xf>
    <xf numFmtId="0" fontId="12" fillId="0" borderId="1" xfId="0" applyFont="1" applyFill="1" applyBorder="1" applyAlignment="1">
      <alignment horizontal="center" vertical="center" wrapText="1"/>
    </xf>
    <xf numFmtId="0" fontId="0" fillId="0" borderId="0" xfId="0" applyFont="1" applyAlignment="1">
      <alignment horizontal="center"/>
    </xf>
    <xf numFmtId="0" fontId="0" fillId="0" borderId="4" xfId="0" applyFont="1" applyFill="1" applyBorder="1" applyAlignment="1">
      <alignment horizontal="center"/>
    </xf>
    <xf numFmtId="0" fontId="12" fillId="0" borderId="1" xfId="0" applyFont="1" applyFill="1" applyBorder="1" applyAlignment="1">
      <alignment horizontal="center" vertical="center" wrapText="1"/>
    </xf>
    <xf numFmtId="0" fontId="12" fillId="0" borderId="1" xfId="0" applyFont="1" applyFill="1" applyBorder="1" applyAlignment="1" applyProtection="1">
      <alignment horizontal="center" vertical="center" wrapText="1"/>
      <protection locked="0"/>
    </xf>
    <xf numFmtId="0" fontId="12" fillId="0" borderId="0" xfId="0" applyFont="1" applyFill="1" applyAlignment="1">
      <alignment horizontal="center" vertical="center" wrapText="1"/>
    </xf>
    <xf numFmtId="0" fontId="12" fillId="0" borderId="3" xfId="0" applyFont="1" applyFill="1" applyBorder="1" applyAlignment="1">
      <alignment horizontal="center" vertical="center" wrapText="1"/>
    </xf>
    <xf numFmtId="0" fontId="12" fillId="0" borderId="3" xfId="0" applyFont="1" applyFill="1" applyBorder="1" applyAlignment="1">
      <alignment horizontal="center" wrapText="1"/>
    </xf>
    <xf numFmtId="0" fontId="0" fillId="0" borderId="1" xfId="0" applyFont="1" applyBorder="1" applyAlignment="1">
      <alignment horizontal="center" wrapText="1"/>
    </xf>
    <xf numFmtId="0" fontId="12" fillId="0" borderId="0" xfId="0" applyFont="1" applyFill="1" applyBorder="1" applyAlignment="1">
      <alignment horizontal="left"/>
    </xf>
    <xf numFmtId="0" fontId="13" fillId="4" borderId="1" xfId="0" applyFont="1" applyFill="1" applyBorder="1" applyAlignment="1">
      <alignment horizontal="left" vertical="center"/>
    </xf>
    <xf numFmtId="0" fontId="12" fillId="0" borderId="0" xfId="0" applyFont="1" applyFill="1" applyAlignment="1">
      <alignment horizontal="left" vertical="center" wrapText="1"/>
    </xf>
    <xf numFmtId="0" fontId="0" fillId="0" borderId="1" xfId="0" applyBorder="1" applyAlignment="1">
      <alignment horizontal="left"/>
    </xf>
    <xf numFmtId="0" fontId="0" fillId="0" borderId="1" xfId="0" applyFont="1" applyBorder="1" applyAlignment="1">
      <alignment horizontal="left" wrapText="1"/>
    </xf>
    <xf numFmtId="0" fontId="0" fillId="0" borderId="0" xfId="0" applyFont="1" applyAlignment="1">
      <alignment horizontal="left"/>
    </xf>
    <xf numFmtId="0" fontId="12" fillId="0" borderId="3" xfId="0" applyFont="1" applyFill="1" applyBorder="1" applyAlignment="1">
      <alignment horizontal="left"/>
    </xf>
    <xf numFmtId="11" fontId="30" fillId="14" borderId="1" xfId="0" applyNumberFormat="1" applyFont="1" applyFill="1" applyBorder="1" applyAlignment="1" applyProtection="1">
      <alignment horizontal="center" vertical="center" wrapText="1"/>
      <protection locked="0"/>
    </xf>
    <xf numFmtId="0" fontId="12" fillId="0" borderId="3" xfId="0" applyFont="1" applyFill="1" applyBorder="1" applyAlignment="1">
      <alignment horizontal="left" wrapText="1"/>
    </xf>
    <xf numFmtId="0" fontId="12" fillId="0" borderId="1" xfId="0" applyFont="1" applyFill="1" applyBorder="1" applyAlignment="1">
      <alignment horizontal="left"/>
    </xf>
    <xf numFmtId="0" fontId="2" fillId="14" borderId="1" xfId="1" applyFont="1" applyFill="1" applyBorder="1" applyAlignment="1">
      <alignment wrapText="1"/>
    </xf>
    <xf numFmtId="11" fontId="2" fillId="14" borderId="1" xfId="1" applyNumberFormat="1" applyFont="1" applyFill="1" applyBorder="1"/>
    <xf numFmtId="11" fontId="30" fillId="14" borderId="11" xfId="0" applyNumberFormat="1" applyFont="1" applyFill="1" applyBorder="1" applyAlignment="1" applyProtection="1">
      <alignment horizontal="center" vertical="center" wrapText="1"/>
      <protection locked="0"/>
    </xf>
    <xf numFmtId="0" fontId="30" fillId="14" borderId="1" xfId="0" applyNumberFormat="1" applyFont="1" applyFill="1" applyBorder="1" applyAlignment="1" applyProtection="1">
      <alignment horizontal="left" vertical="center" wrapText="1"/>
      <protection locked="0"/>
    </xf>
    <xf numFmtId="0" fontId="30" fillId="14" borderId="1" xfId="1" applyNumberFormat="1" applyFont="1" applyFill="1" applyBorder="1" applyAlignment="1" applyProtection="1">
      <alignment horizontal="left" vertical="center" wrapText="1"/>
      <protection locked="0"/>
    </xf>
    <xf numFmtId="0" fontId="30" fillId="14" borderId="1" xfId="0" applyFont="1" applyFill="1" applyBorder="1" applyAlignment="1" applyProtection="1">
      <alignment horizontal="left" vertical="center" wrapText="1"/>
      <protection locked="0"/>
    </xf>
    <xf numFmtId="0" fontId="30" fillId="14" borderId="1" xfId="0" applyFont="1" applyFill="1" applyBorder="1" applyAlignment="1">
      <alignment vertical="center"/>
    </xf>
    <xf numFmtId="0" fontId="2" fillId="14" borderId="1" xfId="1" applyFont="1" applyFill="1" applyBorder="1"/>
    <xf numFmtId="165" fontId="12" fillId="14" borderId="1" xfId="0" applyNumberFormat="1" applyFont="1" applyFill="1" applyBorder="1" applyAlignment="1">
      <alignment horizontal="center"/>
    </xf>
    <xf numFmtId="0" fontId="0" fillId="14" borderId="1" xfId="0" applyFont="1" applyFill="1" applyBorder="1" applyAlignment="1">
      <alignment horizontal="center"/>
    </xf>
    <xf numFmtId="0" fontId="12" fillId="14" borderId="1" xfId="0" applyFont="1" applyFill="1" applyBorder="1"/>
    <xf numFmtId="0" fontId="0" fillId="0" borderId="1" xfId="0" applyBorder="1" applyAlignment="1">
      <alignment vertical="center" wrapText="1"/>
    </xf>
    <xf numFmtId="0" fontId="0" fillId="0" borderId="0" xfId="0"/>
    <xf numFmtId="0" fontId="0" fillId="0" borderId="0" xfId="0"/>
    <xf numFmtId="0" fontId="0" fillId="0" borderId="1" xfId="0" applyNumberFormat="1" applyBorder="1" applyAlignment="1">
      <alignment vertical="center" wrapText="1"/>
    </xf>
    <xf numFmtId="0" fontId="0" fillId="0" borderId="1" xfId="0" applyBorder="1" applyAlignment="1">
      <alignment wrapText="1"/>
    </xf>
    <xf numFmtId="2" fontId="16" fillId="0" borderId="1" xfId="0" applyNumberFormat="1" applyFont="1" applyFill="1" applyBorder="1" applyAlignment="1">
      <alignment horizontal="center" vertical="center" wrapText="1"/>
    </xf>
    <xf numFmtId="0" fontId="12" fillId="0" borderId="1" xfId="0" applyNumberFormat="1" applyFont="1" applyFill="1" applyBorder="1" applyAlignment="1" applyProtection="1">
      <alignment horizontal="center" vertical="center" wrapText="1"/>
      <protection hidden="1"/>
    </xf>
    <xf numFmtId="11" fontId="16" fillId="0" borderId="1" xfId="0" applyNumberFormat="1" applyFont="1" applyFill="1" applyBorder="1" applyAlignment="1">
      <alignment horizontal="center" vertical="center" wrapText="1"/>
    </xf>
    <xf numFmtId="0" fontId="0" fillId="0" borderId="1" xfId="0" applyFont="1" applyFill="1" applyBorder="1" applyAlignment="1">
      <alignment horizontal="left" wrapText="1"/>
    </xf>
    <xf numFmtId="0" fontId="0" fillId="0" borderId="1" xfId="0" applyFill="1" applyBorder="1" applyAlignment="1">
      <alignment vertical="center" wrapText="1"/>
    </xf>
    <xf numFmtId="0" fontId="0" fillId="0" borderId="1" xfId="0" applyFont="1" applyFill="1" applyBorder="1" applyAlignment="1">
      <alignment horizontal="center" vertical="center" wrapText="1"/>
    </xf>
    <xf numFmtId="11" fontId="0" fillId="0" borderId="4" xfId="0" applyNumberFormat="1" applyFont="1" applyFill="1" applyBorder="1" applyAlignment="1">
      <alignment horizontal="center" vertical="center"/>
    </xf>
    <xf numFmtId="0" fontId="0" fillId="0" borderId="1" xfId="0" applyFill="1" applyBorder="1" applyAlignment="1">
      <alignment horizontal="center" vertical="center" wrapText="1"/>
    </xf>
    <xf numFmtId="2" fontId="0" fillId="0" borderId="1" xfId="0" applyNumberFormat="1" applyFill="1" applyBorder="1"/>
    <xf numFmtId="11" fontId="12" fillId="0" borderId="1" xfId="1" applyNumberFormat="1" applyFont="1" applyBorder="1" applyAlignment="1">
      <alignment horizontal="center"/>
    </xf>
    <xf numFmtId="0" fontId="0" fillId="0" borderId="1" xfId="0" applyFill="1" applyBorder="1" applyAlignment="1">
      <alignment wrapText="1"/>
    </xf>
    <xf numFmtId="0" fontId="0" fillId="0" borderId="0" xfId="0" applyFill="1" applyAlignment="1">
      <alignment horizontal="center" vertical="center"/>
    </xf>
    <xf numFmtId="49" fontId="0" fillId="0" borderId="1" xfId="0" applyNumberFormat="1" applyBorder="1" applyAlignment="1">
      <alignment horizontal="center"/>
    </xf>
    <xf numFmtId="0" fontId="12" fillId="0" borderId="0" xfId="0" applyFont="1" applyFill="1" applyAlignment="1" applyProtection="1">
      <alignment horizontal="center" vertical="center" wrapText="1"/>
      <protection locked="0"/>
    </xf>
    <xf numFmtId="0" fontId="0" fillId="0" borderId="0" xfId="0" applyFill="1" applyAlignment="1">
      <alignment vertical="center" wrapText="1"/>
    </xf>
    <xf numFmtId="0" fontId="0" fillId="0" borderId="0" xfId="0" applyFont="1" applyFill="1" applyAlignment="1">
      <alignment horizontal="center" vertical="center" wrapText="1"/>
    </xf>
    <xf numFmtId="0" fontId="0" fillId="0" borderId="1" xfId="0" applyFont="1" applyFill="1" applyBorder="1" applyAlignment="1">
      <alignment horizontal="center" wrapText="1"/>
    </xf>
    <xf numFmtId="0" fontId="2" fillId="0" borderId="1" xfId="1" applyFont="1" applyBorder="1" applyAlignment="1">
      <alignment horizontal="center" vertical="center" wrapText="1"/>
    </xf>
    <xf numFmtId="0" fontId="0" fillId="0" borderId="1" xfId="0" applyBorder="1" applyAlignment="1">
      <alignment wrapText="1"/>
    </xf>
    <xf numFmtId="0" fontId="2" fillId="3" borderId="2" xfId="0" applyFont="1" applyFill="1" applyBorder="1" applyAlignment="1">
      <alignment horizontal="center" vertical="center" wrapText="1"/>
    </xf>
    <xf numFmtId="0" fontId="2" fillId="3" borderId="12" xfId="0" applyFont="1" applyFill="1" applyBorder="1" applyAlignment="1">
      <alignment horizontal="center" vertical="center" wrapText="1"/>
    </xf>
    <xf numFmtId="0" fontId="2" fillId="3" borderId="13" xfId="0" applyFont="1" applyFill="1" applyBorder="1" applyAlignment="1">
      <alignment horizontal="center" vertical="center" wrapText="1"/>
    </xf>
    <xf numFmtId="0" fontId="11" fillId="0" borderId="1" xfId="1" applyFont="1" applyBorder="1" applyAlignment="1">
      <alignment horizontal="center"/>
    </xf>
    <xf numFmtId="0" fontId="6" fillId="4" borderId="1" xfId="0" applyFont="1" applyFill="1" applyBorder="1" applyAlignment="1">
      <alignment horizontal="center"/>
    </xf>
    <xf numFmtId="0" fontId="3" fillId="4" borderId="1" xfId="0" applyFont="1" applyFill="1" applyBorder="1" applyAlignment="1">
      <alignment horizontal="center" vertical="center"/>
    </xf>
    <xf numFmtId="0" fontId="3" fillId="4" borderId="1" xfId="0" applyFont="1" applyFill="1" applyBorder="1" applyAlignment="1">
      <alignment horizontal="center" vertical="center" wrapText="1"/>
    </xf>
    <xf numFmtId="0" fontId="3" fillId="4" borderId="2" xfId="0" applyFont="1" applyFill="1" applyBorder="1" applyAlignment="1">
      <alignment horizontal="center" vertical="center"/>
    </xf>
    <xf numFmtId="0" fontId="3" fillId="4" borderId="13" xfId="0" applyFont="1" applyFill="1" applyBorder="1" applyAlignment="1">
      <alignment horizontal="center" vertical="center"/>
    </xf>
    <xf numFmtId="0" fontId="8" fillId="0" borderId="1" xfId="1" applyFont="1" applyBorder="1" applyAlignment="1">
      <alignment horizontal="center"/>
    </xf>
    <xf numFmtId="0" fontId="9" fillId="0" borderId="1" xfId="3" applyBorder="1" applyAlignment="1">
      <alignment horizontal="center"/>
    </xf>
    <xf numFmtId="0" fontId="2" fillId="0" borderId="1" xfId="1" applyFont="1" applyBorder="1" applyAlignment="1">
      <alignment horizontal="left"/>
    </xf>
    <xf numFmtId="0" fontId="2" fillId="0" borderId="1" xfId="1" applyBorder="1" applyAlignment="1">
      <alignment horizontal="left"/>
    </xf>
    <xf numFmtId="0" fontId="2" fillId="0" borderId="1" xfId="1" applyFont="1" applyBorder="1" applyAlignment="1">
      <alignment horizontal="center"/>
    </xf>
    <xf numFmtId="0" fontId="2" fillId="0" borderId="1" xfId="1" applyBorder="1" applyAlignment="1">
      <alignment horizontal="center"/>
    </xf>
    <xf numFmtId="0" fontId="9" fillId="0" borderId="1" xfId="3" applyFont="1" applyBorder="1" applyAlignment="1">
      <alignment horizontal="center"/>
    </xf>
    <xf numFmtId="0" fontId="11" fillId="4" borderId="1" xfId="1" applyFont="1" applyFill="1" applyBorder="1" applyAlignment="1">
      <alignment horizontal="center" vertical="center"/>
    </xf>
    <xf numFmtId="2" fontId="12" fillId="0" borderId="1" xfId="0" applyNumberFormat="1" applyFont="1" applyBorder="1" applyAlignment="1" applyProtection="1">
      <alignment horizontal="center" vertical="center" wrapText="1"/>
      <protection hidden="1"/>
    </xf>
    <xf numFmtId="2" fontId="12" fillId="0" borderId="4" xfId="0" applyNumberFormat="1" applyFont="1" applyBorder="1" applyAlignment="1" applyProtection="1">
      <alignment horizontal="center" vertical="center" wrapText="1"/>
      <protection hidden="1"/>
    </xf>
    <xf numFmtId="2" fontId="12" fillId="0" borderId="3" xfId="0" applyNumberFormat="1" applyFont="1" applyBorder="1" applyAlignment="1" applyProtection="1">
      <alignment horizontal="center" vertical="center" wrapText="1"/>
      <protection hidden="1"/>
    </xf>
    <xf numFmtId="2" fontId="12" fillId="0" borderId="6" xfId="0" applyNumberFormat="1" applyFont="1" applyBorder="1" applyAlignment="1" applyProtection="1">
      <alignment horizontal="center" vertical="center" wrapText="1"/>
      <protection hidden="1"/>
    </xf>
    <xf numFmtId="2" fontId="12" fillId="0" borderId="4" xfId="0" applyNumberFormat="1" applyFont="1" applyFill="1" applyBorder="1" applyAlignment="1" applyProtection="1">
      <alignment horizontal="center" vertical="center" wrapText="1"/>
      <protection hidden="1"/>
    </xf>
    <xf numFmtId="2" fontId="12" fillId="0" borderId="3" xfId="0" applyNumberFormat="1" applyFont="1" applyFill="1" applyBorder="1" applyAlignment="1" applyProtection="1">
      <alignment horizontal="center" vertical="center" wrapText="1"/>
      <protection hidden="1"/>
    </xf>
    <xf numFmtId="2" fontId="12" fillId="0" borderId="6" xfId="0" applyNumberFormat="1" applyFont="1" applyFill="1" applyBorder="1" applyAlignment="1" applyProtection="1">
      <alignment horizontal="center" vertical="center" wrapText="1"/>
      <protection hidden="1"/>
    </xf>
    <xf numFmtId="0" fontId="13" fillId="0" borderId="7" xfId="0" applyFont="1" applyFill="1" applyBorder="1" applyAlignment="1">
      <alignment horizontal="left" vertical="top" wrapText="1"/>
    </xf>
    <xf numFmtId="0" fontId="13" fillId="0" borderId="22" xfId="0" applyFont="1" applyFill="1" applyBorder="1" applyAlignment="1">
      <alignment horizontal="left" vertical="top" wrapText="1"/>
    </xf>
    <xf numFmtId="0" fontId="13" fillId="0" borderId="8" xfId="0" applyFont="1" applyFill="1" applyBorder="1" applyAlignment="1">
      <alignment horizontal="left" vertical="top" wrapText="1"/>
    </xf>
    <xf numFmtId="2" fontId="0" fillId="0" borderId="4" xfId="0" applyNumberFormat="1" applyBorder="1" applyAlignment="1">
      <alignment horizontal="center" vertical="center"/>
    </xf>
    <xf numFmtId="2" fontId="0" fillId="0" borderId="3" xfId="0" applyNumberFormat="1" applyBorder="1" applyAlignment="1">
      <alignment horizontal="center" vertical="center"/>
    </xf>
    <xf numFmtId="2" fontId="0" fillId="0" borderId="6" xfId="0" applyNumberFormat="1" applyBorder="1" applyAlignment="1">
      <alignment horizontal="center" vertical="center"/>
    </xf>
    <xf numFmtId="0" fontId="15" fillId="4" borderId="10" xfId="0" applyFont="1" applyFill="1" applyBorder="1" applyAlignment="1">
      <alignment horizontal="center" vertical="center"/>
    </xf>
    <xf numFmtId="0" fontId="15" fillId="4" borderId="11" xfId="0" applyFont="1" applyFill="1" applyBorder="1" applyAlignment="1">
      <alignment horizontal="center" vertical="center"/>
    </xf>
    <xf numFmtId="0" fontId="2" fillId="7" borderId="1" xfId="1" applyFont="1" applyFill="1" applyBorder="1" applyAlignment="1" applyProtection="1">
      <alignment horizontal="center" vertical="center" wrapText="1"/>
    </xf>
    <xf numFmtId="0" fontId="2" fillId="7" borderId="1" xfId="1" applyFont="1" applyFill="1" applyBorder="1" applyAlignment="1">
      <alignment horizontal="center" vertical="center" wrapText="1"/>
    </xf>
    <xf numFmtId="0" fontId="3" fillId="7" borderId="1" xfId="1" applyFont="1" applyFill="1" applyBorder="1" applyAlignment="1">
      <alignment horizontal="center" vertical="center" wrapText="1"/>
    </xf>
    <xf numFmtId="0" fontId="11" fillId="7" borderId="1" xfId="1" applyFont="1" applyFill="1" applyBorder="1" applyAlignment="1" applyProtection="1">
      <alignment horizontal="center" vertical="center" wrapText="1"/>
    </xf>
    <xf numFmtId="0" fontId="11" fillId="7" borderId="2" xfId="1" applyFont="1" applyFill="1" applyBorder="1" applyAlignment="1" applyProtection="1">
      <alignment horizontal="center" vertical="center" wrapText="1"/>
    </xf>
    <xf numFmtId="0" fontId="11" fillId="7" borderId="13" xfId="1" applyFont="1" applyFill="1" applyBorder="1" applyAlignment="1" applyProtection="1">
      <alignment horizontal="center" vertical="center" wrapText="1"/>
    </xf>
    <xf numFmtId="0" fontId="26" fillId="0" borderId="4" xfId="1" applyFont="1" applyFill="1" applyBorder="1" applyAlignment="1">
      <alignment horizontal="left" vertical="center" wrapText="1"/>
    </xf>
    <xf numFmtId="0" fontId="26" fillId="0" borderId="6" xfId="1" applyFont="1" applyFill="1" applyBorder="1" applyAlignment="1">
      <alignment horizontal="left" vertical="center" wrapText="1"/>
    </xf>
    <xf numFmtId="0" fontId="11" fillId="7" borderId="2" xfId="1" applyFont="1" applyFill="1" applyBorder="1" applyAlignment="1">
      <alignment horizontal="center" vertical="center" wrapText="1"/>
    </xf>
    <xf numFmtId="0" fontId="11" fillId="7" borderId="12" xfId="1" applyFont="1" applyFill="1" applyBorder="1" applyAlignment="1">
      <alignment horizontal="center" vertical="center" wrapText="1"/>
    </xf>
    <xf numFmtId="0" fontId="11" fillId="7" borderId="13" xfId="1" applyFont="1" applyFill="1" applyBorder="1" applyAlignment="1">
      <alignment horizontal="center" vertical="center" wrapText="1"/>
    </xf>
    <xf numFmtId="0" fontId="11" fillId="7" borderId="4" xfId="1" applyFont="1" applyFill="1" applyBorder="1" applyAlignment="1" applyProtection="1">
      <alignment horizontal="center" vertical="center" wrapText="1"/>
    </xf>
    <xf numFmtId="0" fontId="2" fillId="7" borderId="4" xfId="1" applyFont="1" applyFill="1" applyBorder="1" applyAlignment="1" applyProtection="1">
      <alignment horizontal="center" vertical="center" wrapText="1"/>
    </xf>
    <xf numFmtId="0" fontId="11" fillId="7" borderId="6" xfId="1" applyFont="1" applyFill="1" applyBorder="1" applyAlignment="1" applyProtection="1">
      <alignment horizontal="center" vertical="center" wrapText="1"/>
    </xf>
    <xf numFmtId="0" fontId="2" fillId="7" borderId="6" xfId="1" applyFont="1" applyFill="1" applyBorder="1" applyAlignment="1" applyProtection="1">
      <alignment horizontal="center" vertical="center" wrapText="1"/>
    </xf>
    <xf numFmtId="0" fontId="5" fillId="0" borderId="5" xfId="1" applyFont="1" applyBorder="1" applyAlignment="1">
      <alignment horizontal="left" vertical="center" wrapText="1"/>
    </xf>
    <xf numFmtId="0" fontId="5" fillId="0" borderId="11" xfId="1" applyFont="1" applyBorder="1" applyAlignment="1">
      <alignment horizontal="left" vertical="center" wrapText="1"/>
    </xf>
    <xf numFmtId="0" fontId="26" fillId="0" borderId="4" xfId="1" applyFont="1" applyFill="1" applyBorder="1" applyAlignment="1">
      <alignment horizontal="left" vertical="center"/>
    </xf>
    <xf numFmtId="0" fontId="26" fillId="0" borderId="3" xfId="1" applyFont="1" applyFill="1" applyBorder="1" applyAlignment="1">
      <alignment horizontal="left" vertical="center"/>
    </xf>
    <xf numFmtId="0" fontId="26" fillId="0" borderId="6" xfId="1" applyFont="1" applyFill="1" applyBorder="1" applyAlignment="1">
      <alignment horizontal="left" vertical="center"/>
    </xf>
    <xf numFmtId="0" fontId="26" fillId="0" borderId="3" xfId="1" applyFont="1" applyFill="1" applyBorder="1" applyAlignment="1">
      <alignment horizontal="left" vertical="center" wrapText="1"/>
    </xf>
    <xf numFmtId="0" fontId="26" fillId="0" borderId="4" xfId="1" applyFont="1" applyBorder="1" applyAlignment="1">
      <alignment horizontal="left" vertical="center"/>
    </xf>
    <xf numFmtId="0" fontId="26" fillId="0" borderId="3" xfId="1" applyFont="1" applyBorder="1" applyAlignment="1">
      <alignment horizontal="left" vertical="center"/>
    </xf>
    <xf numFmtId="0" fontId="2" fillId="7" borderId="13" xfId="1" applyFont="1" applyFill="1" applyBorder="1" applyAlignment="1" applyProtection="1">
      <alignment horizontal="center" vertical="center" wrapText="1"/>
    </xf>
    <xf numFmtId="0" fontId="13" fillId="4" borderId="4" xfId="0" applyFont="1" applyFill="1" applyBorder="1" applyAlignment="1">
      <alignment horizontal="left"/>
    </xf>
    <xf numFmtId="0" fontId="13" fillId="4" borderId="3" xfId="0" applyFont="1" applyFill="1" applyBorder="1" applyAlignment="1">
      <alignment horizontal="left"/>
    </xf>
    <xf numFmtId="0" fontId="13" fillId="4" borderId="6" xfId="0" applyFont="1" applyFill="1" applyBorder="1" applyAlignment="1">
      <alignment horizontal="left"/>
    </xf>
    <xf numFmtId="0" fontId="13" fillId="4" borderId="4" xfId="0" applyFont="1" applyFill="1" applyBorder="1" applyAlignment="1">
      <alignment horizontal="left" vertical="center"/>
    </xf>
    <xf numFmtId="0" fontId="13" fillId="4" borderId="3" xfId="0" applyFont="1" applyFill="1" applyBorder="1" applyAlignment="1">
      <alignment horizontal="left" vertical="center"/>
    </xf>
    <xf numFmtId="0" fontId="13" fillId="4" borderId="6" xfId="0" applyFont="1" applyFill="1" applyBorder="1" applyAlignment="1">
      <alignment horizontal="left" vertical="center"/>
    </xf>
  </cellXfs>
  <cellStyles count="19">
    <cellStyle name="Lien hypertexte" xfId="3" builtinId="8"/>
    <cellStyle name="Normal" xfId="0" builtinId="0"/>
    <cellStyle name="Normal 11" xfId="4"/>
    <cellStyle name="Normal 11 2" xfId="5"/>
    <cellStyle name="Normal 11 3" xfId="6"/>
    <cellStyle name="Normal 11 4" xfId="14"/>
    <cellStyle name="Normal 15" xfId="7"/>
    <cellStyle name="Normal 15 2" xfId="8"/>
    <cellStyle name="Normal 15 3" xfId="9"/>
    <cellStyle name="Normal 15 4" xfId="15"/>
    <cellStyle name="Normal 16" xfId="10"/>
    <cellStyle name="Normal 2" xfId="1"/>
    <cellStyle name="Normal 3" xfId="2"/>
    <cellStyle name="Normal 3 2" xfId="18"/>
    <cellStyle name="Normal 4" xfId="11"/>
    <cellStyle name="Normal 4 2" xfId="17"/>
    <cellStyle name="Normal 5" xfId="12"/>
    <cellStyle name="Standaard_Grondwater" xfId="16"/>
    <cellStyle name="Style 1" xfId="13"/>
  </cellStyles>
  <dxfs count="22">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41258\AppData\Roaming\Microsoft\Excel\Fichier%20calcul%20VSH%2011012012%20Organiques%20IV%20old-Juin201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D.Gillard\AppData\Local\Microsoft\Windows\INetCache\Content.Outlook\ENXEUQ8M\Fichier%20calcul%20VSH%2011012012%20Organiques%20IV%20old-Juin201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41258\AppData\Roaming\Microsoft\Excel\BD%20VL%20-%20mod%20TL%20030217.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Liste Polluants"/>
      <sheetName val="Valeurs Ksat"/>
      <sheetName val="Organiques"/>
      <sheetName val="Propriétés Polluant"/>
      <sheetName val="Récap-hors TPH "/>
      <sheetName val="Prop. sol+Param expos(défaut)"/>
      <sheetName val="Propriétés sol+Param exposition"/>
      <sheetName val="Lessivage VSN-VIN"/>
      <sheetName val="1. Inhalation Air Intérieur"/>
      <sheetName val="2. Inhalation  Air Extérieur"/>
      <sheetName val="3. Inhalation de sol"/>
      <sheetName val="4. Inhalation Vapeurs Douche"/>
      <sheetName val="5. Contact Dermique Sol"/>
      <sheetName val="6. Contact Eau douche"/>
      <sheetName val="7. Ingestion de sol"/>
      <sheetName val="8. Ingestion d'eau"/>
      <sheetName val="9. Ingestion légumes Organiques"/>
      <sheetName val="10. Ingestion viande-lait-oeufs"/>
      <sheetName val="RESUL-VS"/>
      <sheetName val="RESUL-VS APRES COR"/>
      <sheetName val="RESUL-VI"/>
      <sheetName val="RESUL-VI APRES COR"/>
      <sheetName val="Récap-TPH"/>
    </sheetNames>
    <sheetDataSet>
      <sheetData sheetId="0">
        <row r="1">
          <cell r="A1" t="str">
            <v>Liste</v>
          </cell>
        </row>
        <row r="2">
          <cell r="A2" t="str">
            <v>Chlorobenzene</v>
          </cell>
        </row>
        <row r="3">
          <cell r="A3" t="str">
            <v>Dichlorobenzene, 1,2-</v>
          </cell>
        </row>
        <row r="4">
          <cell r="A4" t="str">
            <v>Dichlorobenzene, 1,3-</v>
          </cell>
        </row>
        <row r="5">
          <cell r="A5" t="str">
            <v>Dichlorobenzene, 1,4-</v>
          </cell>
        </row>
        <row r="6">
          <cell r="A6" t="str">
            <v>Trichlorobenzene, 1,2,3-</v>
          </cell>
        </row>
        <row r="7">
          <cell r="A7" t="str">
            <v>Trichlorobenzene, 1,2,4-</v>
          </cell>
        </row>
        <row r="8">
          <cell r="A8" t="str">
            <v>Trichlorobenzene, 1,3,5-</v>
          </cell>
        </row>
        <row r="9">
          <cell r="A9" t="str">
            <v>Tetrachlorobenzene, 1,2,3,4-</v>
          </cell>
        </row>
        <row r="10">
          <cell r="A10" t="str">
            <v>Tetrachlorobenzene, 1,2,4,5-</v>
          </cell>
        </row>
        <row r="11">
          <cell r="A11" t="str">
            <v>Pentachlorobenzene</v>
          </cell>
        </row>
        <row r="12">
          <cell r="A12" t="str">
            <v>Hexachlorobenzene</v>
          </cell>
        </row>
        <row r="13">
          <cell r="A13" t="str">
            <v>Cresol, o-</v>
          </cell>
        </row>
        <row r="14">
          <cell r="A14" t="str">
            <v>Cresol, m-</v>
          </cell>
        </row>
        <row r="15">
          <cell r="A15" t="str">
            <v>Cresol, p-</v>
          </cell>
        </row>
        <row r="16">
          <cell r="A16" t="str">
            <v>Dimethylphenol, 2,4-</v>
          </cell>
        </row>
        <row r="17">
          <cell r="A17" t="str">
            <v>Dimethylphenol, 2,5-</v>
          </cell>
        </row>
        <row r="18">
          <cell r="A18" t="str">
            <v>Dimethylphenol, 2,6-</v>
          </cell>
        </row>
        <row r="19">
          <cell r="A19" t="str">
            <v>Dimethylphenol, 3,4-</v>
          </cell>
        </row>
        <row r="20">
          <cell r="A20" t="str">
            <v>Chlorophenol, 2-</v>
          </cell>
        </row>
        <row r="21">
          <cell r="A21" t="str">
            <v>Chlorophenol, 3-</v>
          </cell>
        </row>
        <row r="22">
          <cell r="A22" t="str">
            <v>Chlorophenol, 4-</v>
          </cell>
        </row>
        <row r="23">
          <cell r="A23" t="str">
            <v>Dichlorophenol, 2,4-</v>
          </cell>
        </row>
        <row r="24">
          <cell r="A24" t="str">
            <v>Dichlorophenol, 2,6-</v>
          </cell>
        </row>
        <row r="25">
          <cell r="A25" t="str">
            <v>Dichlorophenol, 3,4-</v>
          </cell>
        </row>
        <row r="26">
          <cell r="A26" t="str">
            <v>Dichlorophenol, 3,5-</v>
          </cell>
        </row>
        <row r="27">
          <cell r="A27" t="str">
            <v>Trichlorophenol, 2,3,5-</v>
          </cell>
        </row>
        <row r="28">
          <cell r="A28" t="str">
            <v>Trichlorophenol, 2,3,6-</v>
          </cell>
        </row>
        <row r="29">
          <cell r="A29" t="str">
            <v>Trichlorophenol, 2,4,5-</v>
          </cell>
        </row>
        <row r="30">
          <cell r="A30" t="str">
            <v>Trichlorophenol, 2,4,6-</v>
          </cell>
        </row>
        <row r="31">
          <cell r="A31" t="str">
            <v>Trichlorophenol, 3,4,5-</v>
          </cell>
        </row>
        <row r="32">
          <cell r="A32" t="str">
            <v>Tetrachlorophenol, 2,3,4,5-</v>
          </cell>
        </row>
        <row r="33">
          <cell r="A33" t="str">
            <v>Tetrachlorophenol, 2,3,4,6-</v>
          </cell>
        </row>
        <row r="34">
          <cell r="A34" t="str">
            <v>Pentachlorophenol</v>
          </cell>
        </row>
        <row r="35">
          <cell r="A35" t="str">
            <v>Chloroéthane</v>
          </cell>
        </row>
        <row r="36">
          <cell r="A36" t="str">
            <v>Cumène</v>
          </cell>
        </row>
        <row r="37">
          <cell r="A37" t="str">
            <v>méthylnaphtalène,1</v>
          </cell>
        </row>
        <row r="38">
          <cell r="A38" t="str">
            <v>méthylnaphtalène,2</v>
          </cell>
        </row>
        <row r="39">
          <cell r="A39" t="str">
            <v>Dichloroéthène, 1,1-</v>
          </cell>
        </row>
        <row r="40">
          <cell r="A40" t="str">
            <v>Bromoforme</v>
          </cell>
        </row>
        <row r="41">
          <cell r="A41" t="str">
            <v>Dibromochlorométhane</v>
          </cell>
        </row>
        <row r="42">
          <cell r="A42" t="str">
            <v>DEHP</v>
          </cell>
        </row>
        <row r="43">
          <cell r="A43" t="str">
            <v>Biphényle</v>
          </cell>
        </row>
        <row r="44">
          <cell r="A44" t="str">
            <v>Bromodichlorométhane</v>
          </cell>
        </row>
        <row r="45">
          <cell r="A45" t="str">
            <v>Bifenthrine</v>
          </cell>
        </row>
        <row r="46">
          <cell r="A46" t="str">
            <v>2-Chlorotoluène</v>
          </cell>
        </row>
        <row r="47">
          <cell r="A47" t="str">
            <v>Bromobenzène</v>
          </cell>
        </row>
        <row r="48">
          <cell r="A48" t="str">
            <v>Pyridine</v>
          </cell>
        </row>
        <row r="49">
          <cell r="A49" t="str">
            <v>Formaldéhyde</v>
          </cell>
        </row>
        <row r="50">
          <cell r="A50" t="str">
            <v>Acétaldéhyde</v>
          </cell>
        </row>
        <row r="51">
          <cell r="A51" t="str">
            <v>Diméthylformamide</v>
          </cell>
        </row>
        <row r="52">
          <cell r="A52" t="str">
            <v>Isopropanol</v>
          </cell>
        </row>
        <row r="53">
          <cell r="A53" t="str">
            <v>Ammoniac</v>
          </cell>
        </row>
        <row r="54">
          <cell r="A54" t="str">
            <v>Acide fluorhydrique</v>
          </cell>
        </row>
        <row r="55">
          <cell r="A55" t="str">
            <v>1,1,2,2-tétrachloroéthane</v>
          </cell>
        </row>
        <row r="56">
          <cell r="A56" t="str">
            <v>méthanol</v>
          </cell>
        </row>
        <row r="57">
          <cell r="A57" t="str">
            <v>1-butanol</v>
          </cell>
        </row>
        <row r="58">
          <cell r="A58" t="str">
            <v>2-butanone (MEK)</v>
          </cell>
        </row>
        <row r="59">
          <cell r="A59" t="str">
            <v>acétone</v>
          </cell>
        </row>
        <row r="60">
          <cell r="A60" t="str">
            <v>RDX (hexogen-cyclonite)</v>
          </cell>
        </row>
        <row r="61">
          <cell r="A61" t="str">
            <v>2,4,6-trinitrotoluène (TNT)</v>
          </cell>
        </row>
        <row r="62">
          <cell r="A62" t="str">
            <v>HMX (octogen)</v>
          </cell>
        </row>
        <row r="63">
          <cell r="A63" t="str">
            <v>diphénylamine (DPA)</v>
          </cell>
        </row>
        <row r="64">
          <cell r="A64" t="str">
            <v>1,3,5-trinitrobenzène</v>
          </cell>
        </row>
        <row r="65">
          <cell r="A65" t="str">
            <v>acétonitrile</v>
          </cell>
        </row>
        <row r="68">
          <cell r="A68" t="str">
            <v>MONOMETHYLMERCURE</v>
          </cell>
        </row>
        <row r="69">
          <cell r="A69" t="str">
            <v>DIMETHYLMERCURE</v>
          </cell>
        </row>
        <row r="70">
          <cell r="A70" t="str">
            <v>MERCURE ELEMENTAIRE</v>
          </cell>
        </row>
        <row r="71">
          <cell r="A71" t="str">
            <v>CYANURES LIBRES</v>
          </cell>
        </row>
        <row r="72">
          <cell r="A72" t="str">
            <v>CYANURES COMPLEXES FERROCYANURES DE FER</v>
          </cell>
        </row>
      </sheetData>
      <sheetData sheetId="1">
        <row r="4">
          <cell r="A4" t="str">
            <v>Nappe alluviale (gravier)</v>
          </cell>
        </row>
        <row r="5">
          <cell r="A5" t="str">
            <v>Nappe du Crétacé-Hesbaye (craies)</v>
          </cell>
        </row>
        <row r="6">
          <cell r="A6" t="str">
            <v>Nappe du Bruxellien (sables)</v>
          </cell>
        </row>
        <row r="7">
          <cell r="A7" t="str">
            <v>Nappe calcaire (calcaire)</v>
          </cell>
        </row>
        <row r="8">
          <cell r="A8" t="str">
            <v>Nappe du Sinémurien (sables et grès)</v>
          </cell>
        </row>
        <row r="9">
          <cell r="A9" t="str">
            <v>Shisto-gréseux (aquitard)</v>
          </cell>
        </row>
        <row r="10">
          <cell r="A10" t="str">
            <v>Type inconnu</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Liste Polluants"/>
      <sheetName val="Valeurs Ksat"/>
      <sheetName val="Organiques"/>
      <sheetName val="Propriétés Polluant"/>
      <sheetName val="Récap-hors TPH "/>
      <sheetName val="Prop. sol+Param expos(défaut)"/>
      <sheetName val="Propriétés sol+Param exposition"/>
      <sheetName val="Lessivage VSN-VIN"/>
      <sheetName val="1. Inhalation Air Intérieur"/>
      <sheetName val="2. Inhalation  Air Extérieur"/>
      <sheetName val="3. Inhalation de sol"/>
      <sheetName val="4. Inhalation Vapeurs Douche"/>
      <sheetName val="5. Contact Dermique Sol"/>
      <sheetName val="6. Contact Eau douche"/>
      <sheetName val="7. Ingestion de sol"/>
      <sheetName val="8. Ingestion d'eau"/>
      <sheetName val="9. Ingestion légumes Organiques"/>
      <sheetName val="10. Ingestion viande-lait-oeufs"/>
      <sheetName val="RESUL-VS"/>
      <sheetName val="RESUL-VS APRES COR"/>
      <sheetName val="RESUL-VI"/>
      <sheetName val="RESUL-VI APRES COR"/>
      <sheetName val="Récap-TPH"/>
    </sheetNames>
    <sheetDataSet>
      <sheetData sheetId="0">
        <row r="1">
          <cell r="A1" t="str">
            <v>Liste</v>
          </cell>
        </row>
        <row r="2">
          <cell r="A2" t="str">
            <v>Chlorobenzene</v>
          </cell>
        </row>
        <row r="3">
          <cell r="A3" t="str">
            <v>Dichlorobenzene, 1,2-</v>
          </cell>
        </row>
        <row r="4">
          <cell r="A4" t="str">
            <v>Dichlorobenzene, 1,3-</v>
          </cell>
        </row>
        <row r="5">
          <cell r="A5" t="str">
            <v>Dichlorobenzene, 1,4-</v>
          </cell>
        </row>
        <row r="6">
          <cell r="A6" t="str">
            <v>Trichlorobenzene, 1,2,3-</v>
          </cell>
        </row>
        <row r="7">
          <cell r="A7" t="str">
            <v>Trichlorobenzene, 1,2,4-</v>
          </cell>
        </row>
        <row r="8">
          <cell r="A8" t="str">
            <v>Trichlorobenzene, 1,3,5-</v>
          </cell>
        </row>
        <row r="9">
          <cell r="A9" t="str">
            <v>Tetrachlorobenzene, 1,2,3,4-</v>
          </cell>
        </row>
        <row r="10">
          <cell r="A10" t="str">
            <v>Tetrachlorobenzene, 1,2,4,5-</v>
          </cell>
        </row>
        <row r="11">
          <cell r="A11" t="str">
            <v>Pentachlorobenzene</v>
          </cell>
        </row>
        <row r="12">
          <cell r="A12" t="str">
            <v>Hexachlorobenzene</v>
          </cell>
        </row>
        <row r="13">
          <cell r="A13" t="str">
            <v>Cresol, o-</v>
          </cell>
        </row>
        <row r="14">
          <cell r="A14" t="str">
            <v>Cresol, m-</v>
          </cell>
        </row>
        <row r="15">
          <cell r="A15" t="str">
            <v>Cresol, p-</v>
          </cell>
        </row>
        <row r="16">
          <cell r="A16" t="str">
            <v>Dimethylphenol, 2,4-</v>
          </cell>
        </row>
        <row r="17">
          <cell r="A17" t="str">
            <v>Dimethylphenol, 2,5-</v>
          </cell>
        </row>
        <row r="18">
          <cell r="A18" t="str">
            <v>Dimethylphenol, 2,6-</v>
          </cell>
        </row>
        <row r="19">
          <cell r="A19" t="str">
            <v>Dimethylphenol, 3,4-</v>
          </cell>
        </row>
        <row r="20">
          <cell r="A20" t="str">
            <v>Chlorophenol, 2-</v>
          </cell>
        </row>
        <row r="21">
          <cell r="A21" t="str">
            <v>Chlorophenol, 3-</v>
          </cell>
        </row>
        <row r="22">
          <cell r="A22" t="str">
            <v>Chlorophenol, 4-</v>
          </cell>
        </row>
        <row r="23">
          <cell r="A23" t="str">
            <v>Dichlorophenol, 2,4-</v>
          </cell>
        </row>
        <row r="24">
          <cell r="A24" t="str">
            <v>Dichlorophenol, 2,6-</v>
          </cell>
        </row>
        <row r="25">
          <cell r="A25" t="str">
            <v>Dichlorophenol, 3,4-</v>
          </cell>
        </row>
        <row r="26">
          <cell r="A26" t="str">
            <v>Dichlorophenol, 3,5-</v>
          </cell>
        </row>
        <row r="27">
          <cell r="A27" t="str">
            <v>Trichlorophenol, 2,3,5-</v>
          </cell>
        </row>
        <row r="28">
          <cell r="A28" t="str">
            <v>Trichlorophenol, 2,3,6-</v>
          </cell>
        </row>
        <row r="29">
          <cell r="A29" t="str">
            <v>Trichlorophenol, 2,4,5-</v>
          </cell>
        </row>
        <row r="30">
          <cell r="A30" t="str">
            <v>Trichlorophenol, 2,4,6-</v>
          </cell>
        </row>
        <row r="31">
          <cell r="A31" t="str">
            <v>Trichlorophenol, 3,4,5-</v>
          </cell>
        </row>
        <row r="32">
          <cell r="A32" t="str">
            <v>Tetrachlorophenol, 2,3,4,5-</v>
          </cell>
        </row>
        <row r="33">
          <cell r="A33" t="str">
            <v>Tetrachlorophenol, 2,3,4,6-</v>
          </cell>
        </row>
        <row r="34">
          <cell r="A34" t="str">
            <v>Pentachlorophenol</v>
          </cell>
        </row>
        <row r="35">
          <cell r="A35" t="str">
            <v>Chloroéthane</v>
          </cell>
        </row>
        <row r="36">
          <cell r="A36" t="str">
            <v>Cumène</v>
          </cell>
        </row>
        <row r="37">
          <cell r="A37" t="str">
            <v>méthylnaphtalène,1</v>
          </cell>
        </row>
        <row r="38">
          <cell r="A38" t="str">
            <v>méthylnaphtalène,2</v>
          </cell>
        </row>
        <row r="39">
          <cell r="A39" t="str">
            <v>Dichloroéthène, 1,1-</v>
          </cell>
        </row>
        <row r="40">
          <cell r="A40" t="str">
            <v>Bromoforme</v>
          </cell>
        </row>
        <row r="41">
          <cell r="A41" t="str">
            <v>Dibromochlorométhane</v>
          </cell>
        </row>
        <row r="42">
          <cell r="A42" t="str">
            <v>DEHP</v>
          </cell>
        </row>
        <row r="43">
          <cell r="A43" t="str">
            <v>Biphényle</v>
          </cell>
        </row>
        <row r="44">
          <cell r="A44" t="str">
            <v>Bromodichlorométhane</v>
          </cell>
        </row>
        <row r="45">
          <cell r="A45" t="str">
            <v>Bifenthrine</v>
          </cell>
        </row>
        <row r="46">
          <cell r="A46" t="str">
            <v>2-Chlorotoluène</v>
          </cell>
        </row>
        <row r="47">
          <cell r="A47" t="str">
            <v>Bromobenzène</v>
          </cell>
        </row>
        <row r="48">
          <cell r="A48" t="str">
            <v>Pyridine</v>
          </cell>
        </row>
        <row r="49">
          <cell r="A49" t="str">
            <v>Formaldéhyde</v>
          </cell>
        </row>
        <row r="50">
          <cell r="A50" t="str">
            <v>Acétaldéhyde</v>
          </cell>
        </row>
        <row r="51">
          <cell r="A51" t="str">
            <v>Diméthylformamide</v>
          </cell>
        </row>
        <row r="52">
          <cell r="A52" t="str">
            <v>Isopropanol</v>
          </cell>
        </row>
        <row r="53">
          <cell r="A53" t="str">
            <v>Ammoniac</v>
          </cell>
        </row>
        <row r="54">
          <cell r="A54" t="str">
            <v>Acide fluorhydrique</v>
          </cell>
        </row>
        <row r="55">
          <cell r="A55" t="str">
            <v>1,1,2,2-tétrachloroéthane</v>
          </cell>
        </row>
        <row r="56">
          <cell r="A56" t="str">
            <v>méthanol</v>
          </cell>
        </row>
        <row r="57">
          <cell r="A57" t="str">
            <v>1-butanol</v>
          </cell>
        </row>
        <row r="58">
          <cell r="A58" t="str">
            <v>2-butanone (MEK)</v>
          </cell>
        </row>
        <row r="59">
          <cell r="A59" t="str">
            <v>acétone</v>
          </cell>
        </row>
        <row r="60">
          <cell r="A60" t="str">
            <v>RDX (hexogen-cyclonite)</v>
          </cell>
        </row>
        <row r="61">
          <cell r="A61" t="str">
            <v>2,4,6-trinitrotoluène (TNT)</v>
          </cell>
        </row>
        <row r="62">
          <cell r="A62" t="str">
            <v>HMX (octogen)</v>
          </cell>
        </row>
        <row r="63">
          <cell r="A63" t="str">
            <v>diphénylamine (DPA)</v>
          </cell>
        </row>
        <row r="64">
          <cell r="A64" t="str">
            <v>1,3,5-trinitrobenzène</v>
          </cell>
        </row>
        <row r="65">
          <cell r="A65" t="str">
            <v>acétonitrile</v>
          </cell>
        </row>
        <row r="68">
          <cell r="A68" t="str">
            <v>MONOMETHYLMERCURE</v>
          </cell>
        </row>
        <row r="69">
          <cell r="A69" t="str">
            <v>DIMETHYLMERCURE</v>
          </cell>
        </row>
        <row r="70">
          <cell r="A70" t="str">
            <v>MERCURE ELEMENTAIRE</v>
          </cell>
        </row>
        <row r="71">
          <cell r="A71" t="str">
            <v>CYANURES LIBRES</v>
          </cell>
        </row>
        <row r="72">
          <cell r="A72" t="str">
            <v>CYANURES COMPLEXES FERROCYANURES DE FER</v>
          </cell>
        </row>
      </sheetData>
      <sheetData sheetId="1">
        <row r="4">
          <cell r="A4" t="str">
            <v>Nappe alluviale (gravier)</v>
          </cell>
        </row>
        <row r="5">
          <cell r="A5" t="str">
            <v>Nappe du Crétacé-Hesbaye (craies)</v>
          </cell>
        </row>
        <row r="6">
          <cell r="A6" t="str">
            <v>Nappe du Bruxellien (sables)</v>
          </cell>
        </row>
        <row r="7">
          <cell r="A7" t="str">
            <v>Nappe calcaire (calcaire)</v>
          </cell>
        </row>
        <row r="8">
          <cell r="A8" t="str">
            <v>Nappe du Sinémurien (sables et grès)</v>
          </cell>
        </row>
        <row r="9">
          <cell r="A9" t="str">
            <v>Shisto-gréseux (aquitard)</v>
          </cell>
        </row>
        <row r="10">
          <cell r="A10" t="str">
            <v>Type inconnu</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synthèse"/>
      <sheetName val="VLH - détail"/>
      <sheetName val="VLnappe - détail"/>
      <sheetName val="PNN ss valeurs limites"/>
    </sheetNames>
    <sheetDataSet>
      <sheetData sheetId="0" refreshError="1"/>
      <sheetData sheetId="1" refreshError="1">
        <row r="5">
          <cell r="F5">
            <v>262368.81559220387</v>
          </cell>
          <cell r="I5">
            <v>147780.22704193546</v>
          </cell>
          <cell r="O5">
            <v>262368.81559220387</v>
          </cell>
          <cell r="P5">
            <v>1000000</v>
          </cell>
        </row>
        <row r="6">
          <cell r="F6">
            <v>104.5060781481523</v>
          </cell>
          <cell r="I6">
            <v>60.051292974907334</v>
          </cell>
          <cell r="O6">
            <v>104.5060781481523</v>
          </cell>
          <cell r="P6">
            <v>585.62091503267982</v>
          </cell>
        </row>
        <row r="7">
          <cell r="F7">
            <v>36890.645586297767</v>
          </cell>
          <cell r="I7">
            <v>7533.7810763568032</v>
          </cell>
          <cell r="O7">
            <v>36890.645586297767</v>
          </cell>
          <cell r="P7">
            <v>42911.877394636016</v>
          </cell>
        </row>
        <row r="8">
          <cell r="F8">
            <v>327.25572697522205</v>
          </cell>
          <cell r="I8">
            <v>122.10012210012211</v>
          </cell>
          <cell r="O8">
            <v>313.34932054356511</v>
          </cell>
          <cell r="P8">
            <v>313.34932054356511</v>
          </cell>
        </row>
        <row r="9">
          <cell r="F9">
            <v>356.76710752887811</v>
          </cell>
          <cell r="I9">
            <v>171.94583059675008</v>
          </cell>
          <cell r="O9">
            <v>356.76710752887811</v>
          </cell>
          <cell r="P9">
            <v>1514.9758454106279</v>
          </cell>
        </row>
        <row r="10">
          <cell r="F10">
            <v>52473.76311844078</v>
          </cell>
          <cell r="I10">
            <v>34072.379310344826</v>
          </cell>
          <cell r="O10">
            <v>52473.76311844078</v>
          </cell>
          <cell r="P10">
            <v>311111.11111111112</v>
          </cell>
        </row>
        <row r="11">
          <cell r="F11">
            <v>8533.1166192604633</v>
          </cell>
          <cell r="I11">
            <v>2252.079123829491</v>
          </cell>
          <cell r="O11">
            <v>6913.5802469135797</v>
          </cell>
          <cell r="P11">
            <v>6913.5802469135797</v>
          </cell>
        </row>
        <row r="12">
          <cell r="F12">
            <v>1310.6906325408595</v>
          </cell>
          <cell r="I12">
            <v>8.7898803933687333</v>
          </cell>
          <cell r="O12">
            <v>1310.6906325408595</v>
          </cell>
          <cell r="P12">
            <v>7677.8063410454151</v>
          </cell>
        </row>
        <row r="13">
          <cell r="F13">
            <v>1311.8440779610196</v>
          </cell>
          <cell r="I13">
            <v>48.192947773836408</v>
          </cell>
          <cell r="O13">
            <v>1311.8440779610196</v>
          </cell>
          <cell r="P13">
            <v>7777.7777777777774</v>
          </cell>
        </row>
        <row r="14">
          <cell r="F14">
            <v>787106.44677661173</v>
          </cell>
          <cell r="I14">
            <v>248.59103296351958</v>
          </cell>
          <cell r="O14">
            <v>787106.44677661173</v>
          </cell>
          <cell r="P14">
            <v>1000000</v>
          </cell>
        </row>
        <row r="15">
          <cell r="F15">
            <v>2317.2712108477717</v>
          </cell>
          <cell r="I15">
            <v>127.23937117690157</v>
          </cell>
          <cell r="O15">
            <v>2317.2712108477717</v>
          </cell>
          <cell r="P15">
            <v>10926.829268292682</v>
          </cell>
        </row>
        <row r="17">
          <cell r="F17">
            <v>2.292976098775108</v>
          </cell>
          <cell r="I17">
            <v>0.24</v>
          </cell>
          <cell r="O17">
            <v>1.9708711540172672</v>
          </cell>
          <cell r="P17">
            <v>8.938334094015369</v>
          </cell>
        </row>
        <row r="29">
          <cell r="F29">
            <v>126.90897660362084</v>
          </cell>
          <cell r="I29">
            <v>0.27782633254375372</v>
          </cell>
          <cell r="O29">
            <v>21.690587696681281</v>
          </cell>
          <cell r="P29">
            <v>86.756843115663557</v>
          </cell>
        </row>
        <row r="31">
          <cell r="F31">
            <v>147.84931461056794</v>
          </cell>
          <cell r="I31">
            <v>0.40377287980398902</v>
          </cell>
          <cell r="O31">
            <v>21.255426013982952</v>
          </cell>
          <cell r="P31">
            <v>21.255426013982952</v>
          </cell>
        </row>
        <row r="33">
          <cell r="F33">
            <v>37.608622134434668</v>
          </cell>
          <cell r="I33">
            <v>1.4490957168462656E-2</v>
          </cell>
          <cell r="O33">
            <v>2.1722360715247473</v>
          </cell>
          <cell r="P33">
            <v>110.26705361566367</v>
          </cell>
        </row>
        <row r="36">
          <cell r="F36">
            <v>143.91353377346061</v>
          </cell>
          <cell r="I36">
            <v>3.0157106254844033</v>
          </cell>
          <cell r="O36">
            <v>106.69679174687339</v>
          </cell>
          <cell r="P36">
            <v>208.78403886473112</v>
          </cell>
        </row>
        <row r="37">
          <cell r="F37">
            <v>157.68387330568584</v>
          </cell>
          <cell r="I37">
            <v>3.3085100059707715</v>
          </cell>
          <cell r="O37">
            <v>116.98625882150668</v>
          </cell>
          <cell r="P37">
            <v>229.30192152958026</v>
          </cell>
        </row>
        <row r="38">
          <cell r="F38">
            <v>422.64640339980201</v>
          </cell>
          <cell r="I38">
            <v>9.1493272197136903</v>
          </cell>
          <cell r="O38">
            <v>317.02461816239077</v>
          </cell>
          <cell r="P38">
            <v>626.24863638748423</v>
          </cell>
        </row>
        <row r="39">
          <cell r="F39">
            <v>212.46563620291769</v>
          </cell>
          <cell r="I39">
            <v>4.5026731880205668</v>
          </cell>
          <cell r="O39">
            <v>158.17083253332001</v>
          </cell>
          <cell r="P39">
            <v>310.65899097481326</v>
          </cell>
        </row>
        <row r="40">
          <cell r="F40">
            <v>4670.6049207358301</v>
          </cell>
          <cell r="I40">
            <v>3.9468827298432525</v>
          </cell>
          <cell r="O40">
            <v>4670.6049207358301</v>
          </cell>
          <cell r="P40">
            <v>21362.868152519542</v>
          </cell>
        </row>
        <row r="42">
          <cell r="F42">
            <v>140.1181476220749</v>
          </cell>
          <cell r="I42">
            <v>6.2492178047313204E-2</v>
          </cell>
          <cell r="O42">
            <v>140.1181476220749</v>
          </cell>
          <cell r="P42">
            <v>640.8860445755862</v>
          </cell>
        </row>
        <row r="43">
          <cell r="F43">
            <v>233.53024603679154</v>
          </cell>
          <cell r="I43">
            <v>0.20529203724157971</v>
          </cell>
          <cell r="O43">
            <v>233.53024603679154</v>
          </cell>
          <cell r="P43">
            <v>1068.143407625977</v>
          </cell>
        </row>
        <row r="59">
          <cell r="F59">
            <v>1000000</v>
          </cell>
          <cell r="I59">
            <v>32.671027457610442</v>
          </cell>
          <cell r="O59">
            <v>137.43354961501313</v>
          </cell>
          <cell r="P59">
            <v>137.43354961501313</v>
          </cell>
        </row>
        <row r="60">
          <cell r="F60">
            <v>22702.992163237479</v>
          </cell>
          <cell r="I60">
            <v>23.546986491108349</v>
          </cell>
          <cell r="O60">
            <v>553.09613048427377</v>
          </cell>
          <cell r="P60">
            <v>553.09613048427377</v>
          </cell>
        </row>
        <row r="61">
          <cell r="F61">
            <v>16347.117222575407</v>
          </cell>
          <cell r="I61">
            <v>9.0862008809759196</v>
          </cell>
          <cell r="O61">
            <v>16347.117222575407</v>
          </cell>
          <cell r="P61">
            <v>74770.038533818399</v>
          </cell>
        </row>
        <row r="62">
          <cell r="F62">
            <v>934.12098414716615</v>
          </cell>
          <cell r="I62">
            <v>1.7473668789957979</v>
          </cell>
          <cell r="O62">
            <v>934.12098414716615</v>
          </cell>
          <cell r="P62">
            <v>4272.5736305039081</v>
          </cell>
        </row>
        <row r="63">
          <cell r="F63">
            <v>382.4900945936725</v>
          </cell>
          <cell r="I63">
            <v>1.1954659023975227</v>
          </cell>
          <cell r="O63">
            <v>5.6574259391335788</v>
          </cell>
          <cell r="P63">
            <v>5.6574259391335788</v>
          </cell>
        </row>
        <row r="64">
          <cell r="F64">
            <v>508.14282521880813</v>
          </cell>
          <cell r="I64">
            <v>0.27705697094932996</v>
          </cell>
          <cell r="O64">
            <v>20.151702921410816</v>
          </cell>
          <cell r="P64">
            <v>20.151702921410816</v>
          </cell>
        </row>
        <row r="65">
          <cell r="F65">
            <v>15.021089814738501</v>
          </cell>
          <cell r="I65">
            <v>1.5449350894669549E-2</v>
          </cell>
          <cell r="O65">
            <v>0.24823560213161164</v>
          </cell>
          <cell r="P65">
            <v>0.24823560213161164</v>
          </cell>
        </row>
        <row r="66">
          <cell r="F66">
            <v>605.57477020829401</v>
          </cell>
          <cell r="I66">
            <v>0.75146781827910769</v>
          </cell>
          <cell r="O66">
            <v>564.0444958810391</v>
          </cell>
          <cell r="P66">
            <v>1121.8757047255683</v>
          </cell>
        </row>
        <row r="68">
          <cell r="F68">
            <v>990.46864193300132</v>
          </cell>
          <cell r="I68">
            <v>0.84004848462143333</v>
          </cell>
          <cell r="O68">
            <v>67.546853597359629</v>
          </cell>
          <cell r="P68">
            <v>1446.0742701590618</v>
          </cell>
        </row>
        <row r="69">
          <cell r="F69">
            <v>144.88617343434186</v>
          </cell>
          <cell r="I69">
            <v>7.3188110518551105E-2</v>
          </cell>
          <cell r="O69">
            <v>144.88617343434186</v>
          </cell>
          <cell r="P69">
            <v>267.9929696552631</v>
          </cell>
        </row>
        <row r="70">
          <cell r="F70">
            <v>121.43572793913158</v>
          </cell>
          <cell r="I70">
            <v>4.3089112380343395E-2</v>
          </cell>
          <cell r="O70">
            <v>136.43178410794602</v>
          </cell>
          <cell r="P70">
            <v>808.8888888888888</v>
          </cell>
        </row>
        <row r="71">
          <cell r="F71">
            <v>4086.7793056438518</v>
          </cell>
          <cell r="I71">
            <v>1.4501143589538643</v>
          </cell>
          <cell r="O71">
            <v>4591.4542728635688</v>
          </cell>
          <cell r="P71">
            <v>27222.222222222219</v>
          </cell>
        </row>
        <row r="72">
          <cell r="F72">
            <v>140118.1476220749</v>
          </cell>
          <cell r="I72">
            <v>49.718206592703915</v>
          </cell>
          <cell r="O72">
            <v>157421.28935532231</v>
          </cell>
          <cell r="P72">
            <v>933333.33333333326</v>
          </cell>
        </row>
        <row r="73">
          <cell r="F73">
            <v>3502.9536905518726</v>
          </cell>
          <cell r="I73">
            <v>355.91439281548418</v>
          </cell>
          <cell r="O73">
            <v>3502.9536905518726</v>
          </cell>
          <cell r="P73">
            <v>16022.151114389655</v>
          </cell>
        </row>
        <row r="74">
          <cell r="F74">
            <v>4670.6049207358301</v>
          </cell>
          <cell r="I74">
            <v>4.719137496922797</v>
          </cell>
          <cell r="O74">
            <v>4670.6049207358301</v>
          </cell>
          <cell r="P74">
            <v>21362.868152519542</v>
          </cell>
        </row>
        <row r="75">
          <cell r="F75">
            <v>1609.0537909578038</v>
          </cell>
          <cell r="I75">
            <v>1.0124928703594012</v>
          </cell>
          <cell r="O75">
            <v>136.63541716980768</v>
          </cell>
          <cell r="P75">
            <v>136.63541716980768</v>
          </cell>
        </row>
        <row r="76">
          <cell r="F76">
            <v>1.832819893482923</v>
          </cell>
          <cell r="I76">
            <v>0.16371629283303474</v>
          </cell>
          <cell r="O76">
            <v>1.7864029036345181</v>
          </cell>
          <cell r="P76">
            <v>4.2174662325288672</v>
          </cell>
        </row>
        <row r="77">
          <cell r="F77">
            <v>34.394049259459088</v>
          </cell>
          <cell r="I77">
            <v>7.3805953171670241E-2</v>
          </cell>
          <cell r="O77">
            <v>0.45072403497427532</v>
          </cell>
          <cell r="P77">
            <v>0.45072403497427532</v>
          </cell>
        </row>
        <row r="78">
          <cell r="F78">
            <v>204.41607069736952</v>
          </cell>
          <cell r="I78">
            <v>0.62479461662108426</v>
          </cell>
          <cell r="O78">
            <v>3.7178596696856796</v>
          </cell>
          <cell r="P78">
            <v>3.7178596696856796</v>
          </cell>
        </row>
        <row r="79">
          <cell r="F79">
            <v>1428.3611679979356</v>
          </cell>
          <cell r="I79">
            <v>12.710423021821594</v>
          </cell>
          <cell r="O79">
            <v>53.602315901430899</v>
          </cell>
          <cell r="P79">
            <v>53.602315901430899</v>
          </cell>
        </row>
        <row r="80">
          <cell r="F80">
            <v>410.06311427601264</v>
          </cell>
          <cell r="I80">
            <v>1.5044156972875373</v>
          </cell>
          <cell r="O80">
            <v>6.3292102465827451</v>
          </cell>
          <cell r="P80">
            <v>6.3292102465827451</v>
          </cell>
        </row>
        <row r="82">
          <cell r="F82">
            <v>35.889258034729515</v>
          </cell>
          <cell r="I82">
            <v>0.22818009110638532</v>
          </cell>
          <cell r="O82">
            <v>0.96117761066083252</v>
          </cell>
          <cell r="P82">
            <v>0.96117761066083252</v>
          </cell>
        </row>
        <row r="91">
          <cell r="F91">
            <v>1000000</v>
          </cell>
          <cell r="I91">
            <v>2904.9020293056128</v>
          </cell>
          <cell r="O91">
            <v>12249.239915349706</v>
          </cell>
          <cell r="P91">
            <v>12249.239915349706</v>
          </cell>
        </row>
        <row r="92">
          <cell r="F92">
            <v>132189.78663510387</v>
          </cell>
          <cell r="I92">
            <v>1551.7523352655483</v>
          </cell>
          <cell r="O92">
            <v>6561.4516336929273</v>
          </cell>
          <cell r="P92">
            <v>6561.4516336929273</v>
          </cell>
        </row>
        <row r="93">
          <cell r="F93">
            <v>102891.31427988413</v>
          </cell>
          <cell r="I93">
            <v>46.239879433657372</v>
          </cell>
          <cell r="O93">
            <v>7638.3524440680731</v>
          </cell>
          <cell r="P93">
            <v>7638.3524440680731</v>
          </cell>
        </row>
        <row r="94">
          <cell r="F94">
            <v>182888.49485101629</v>
          </cell>
          <cell r="I94">
            <v>76.471970905360237</v>
          </cell>
          <cell r="O94">
            <v>45976.789528208894</v>
          </cell>
          <cell r="P94">
            <v>45976.789528208894</v>
          </cell>
        </row>
        <row r="95">
          <cell r="F95">
            <v>81.663115935719944</v>
          </cell>
          <cell r="I95">
            <v>1.6311214258584165E-2</v>
          </cell>
          <cell r="O95">
            <v>81.663115935719944</v>
          </cell>
          <cell r="P95">
            <v>151.05058289660283</v>
          </cell>
        </row>
        <row r="96">
          <cell r="F96">
            <v>116.76512301839577</v>
          </cell>
          <cell r="I96">
            <v>3.5306628824072255E-2</v>
          </cell>
          <cell r="O96">
            <v>116.76512301839577</v>
          </cell>
          <cell r="P96">
            <v>534.07170381298852</v>
          </cell>
        </row>
        <row r="97">
          <cell r="F97">
            <v>11676.512301839577</v>
          </cell>
          <cell r="I97">
            <v>4997.0585484187868</v>
          </cell>
          <cell r="O97">
            <v>11676.512301839577</v>
          </cell>
          <cell r="P97">
            <v>53407.170381298849</v>
          </cell>
        </row>
        <row r="98">
          <cell r="F98">
            <v>5838.2561509197885</v>
          </cell>
          <cell r="I98">
            <v>1.9769159154842482</v>
          </cell>
          <cell r="O98">
            <v>5838.2561509197885</v>
          </cell>
          <cell r="P98">
            <v>26703.585190649424</v>
          </cell>
        </row>
        <row r="99">
          <cell r="F99">
            <v>7005.9073811037451</v>
          </cell>
          <cell r="I99">
            <v>1.8545866093730441</v>
          </cell>
          <cell r="O99">
            <v>7005.9073811037451</v>
          </cell>
          <cell r="P99">
            <v>32044.30222877931</v>
          </cell>
        </row>
        <row r="100">
          <cell r="F100">
            <v>2765.3862817462082</v>
          </cell>
          <cell r="I100">
            <v>23.083695369697121</v>
          </cell>
          <cell r="O100">
            <v>97.323771501693329</v>
          </cell>
          <cell r="P100">
            <v>97.323771501693329</v>
          </cell>
        </row>
        <row r="105">
          <cell r="F105">
            <v>20.319793706751607</v>
          </cell>
          <cell r="I105">
            <v>1.383348914369399E-2</v>
          </cell>
          <cell r="O105">
            <v>0.61759195926919686</v>
          </cell>
          <cell r="P105">
            <v>0.61759195926919686</v>
          </cell>
        </row>
        <row r="106">
          <cell r="F106">
            <v>23353.024603679154</v>
          </cell>
          <cell r="I106">
            <v>7.9058585632262748</v>
          </cell>
          <cell r="O106">
            <v>23353.024603679154</v>
          </cell>
          <cell r="P106">
            <v>106814.3407625977</v>
          </cell>
        </row>
        <row r="117">
          <cell r="F117">
            <v>46505.798913669598</v>
          </cell>
          <cell r="I117">
            <v>24.01941644240625</v>
          </cell>
          <cell r="O117">
            <v>46045.773936902682</v>
          </cell>
          <cell r="P117">
            <v>212808.99297273095</v>
          </cell>
        </row>
        <row r="118">
          <cell r="F118">
            <v>107789.24049059166</v>
          </cell>
          <cell r="I118">
            <v>134.55347642306737</v>
          </cell>
          <cell r="O118">
            <v>95273.381506507925</v>
          </cell>
          <cell r="P118">
            <v>687965.68187813996</v>
          </cell>
        </row>
        <row r="119">
          <cell r="F119">
            <v>11199.129919423856</v>
          </cell>
          <cell r="I119">
            <v>4.099044215689216</v>
          </cell>
          <cell r="O119">
            <v>7936.1260786617704</v>
          </cell>
          <cell r="P119">
            <v>50662.30564119522</v>
          </cell>
        </row>
        <row r="122">
          <cell r="F122">
            <v>1234.9045456104641</v>
          </cell>
          <cell r="I122">
            <v>3.284736997093133</v>
          </cell>
          <cell r="O122">
            <v>18.701619962558585</v>
          </cell>
          <cell r="P122">
            <v>18.701619962558585</v>
          </cell>
        </row>
        <row r="123">
          <cell r="F123">
            <v>0.29913199367254212</v>
          </cell>
          <cell r="I123">
            <v>9.4247295437255939E-5</v>
          </cell>
          <cell r="O123">
            <v>0.29913199367254212</v>
          </cell>
          <cell r="P123">
            <v>0.54287481118127823</v>
          </cell>
        </row>
        <row r="125">
          <cell r="F125">
            <v>0.97691496224612762</v>
          </cell>
          <cell r="I125">
            <v>6.1741384417245387E-4</v>
          </cell>
          <cell r="O125">
            <v>7.4630898906594925E-2</v>
          </cell>
          <cell r="P125">
            <v>7.4630898906594925E-2</v>
          </cell>
        </row>
        <row r="126">
          <cell r="F126">
            <v>32.364235316321661</v>
          </cell>
          <cell r="I126">
            <v>0.11001466814254791</v>
          </cell>
          <cell r="O126">
            <v>0.46278462903566614</v>
          </cell>
          <cell r="P126">
            <v>0.46278462903566614</v>
          </cell>
        </row>
        <row r="128">
          <cell r="F128">
            <v>30.415118344313026</v>
          </cell>
          <cell r="I128">
            <v>9.4160707002133703E-3</v>
          </cell>
          <cell r="O128">
            <v>3.4965395959746335</v>
          </cell>
          <cell r="P128">
            <v>3.4965395959746335</v>
          </cell>
        </row>
        <row r="129">
          <cell r="F129">
            <v>46.706049207358312</v>
          </cell>
          <cell r="I129">
            <v>0.12619580415673354</v>
          </cell>
          <cell r="O129">
            <v>3.4780605286393866</v>
          </cell>
          <cell r="P129">
            <v>3.4780605286393866</v>
          </cell>
        </row>
        <row r="131">
          <cell r="F131">
            <v>2722.1038645239983</v>
          </cell>
          <cell r="I131">
            <v>1.6817111783139185</v>
          </cell>
          <cell r="O131">
            <v>2722.1038645239983</v>
          </cell>
          <cell r="P131">
            <v>5035.0194298867609</v>
          </cell>
        </row>
        <row r="143">
          <cell r="F143">
            <v>6.8811541441318793</v>
          </cell>
          <cell r="I143">
            <v>8.1837346429176425E-3</v>
          </cell>
          <cell r="O143">
            <v>6.7832110363689164</v>
          </cell>
          <cell r="P143">
            <v>12.225764612009604</v>
          </cell>
        </row>
        <row r="145">
          <cell r="F145">
            <v>17.278331328519599</v>
          </cell>
          <cell r="I145">
            <v>2.3276425566599295E-2</v>
          </cell>
          <cell r="O145">
            <v>0.24591027197751561</v>
          </cell>
          <cell r="P145">
            <v>0.24591027197751561</v>
          </cell>
        </row>
        <row r="146">
          <cell r="F146">
            <v>0.53450291329606536</v>
          </cell>
          <cell r="I146">
            <v>2.9678817027633999E-3</v>
          </cell>
          <cell r="O146">
            <v>0.51300243343286334</v>
          </cell>
          <cell r="P146">
            <v>0.96420570381269688</v>
          </cell>
        </row>
        <row r="148">
          <cell r="F148">
            <v>0.9794715461012321</v>
          </cell>
          <cell r="I148">
            <v>9.8940748185112441E-4</v>
          </cell>
          <cell r="O148">
            <v>0.94420293187602389</v>
          </cell>
          <cell r="P148">
            <v>1.6431147766946306</v>
          </cell>
        </row>
        <row r="151">
          <cell r="F151">
            <v>1.5707813609549421</v>
          </cell>
          <cell r="I151">
            <v>3.4932520977744193E-3</v>
          </cell>
          <cell r="O151">
            <v>0.96099986030534779</v>
          </cell>
          <cell r="P151">
            <v>1.3820483601097817</v>
          </cell>
        </row>
        <row r="166">
          <cell r="F166">
            <v>160.40969201659274</v>
          </cell>
          <cell r="I166">
            <v>4.0566109328773393E-2</v>
          </cell>
          <cell r="O166">
            <v>160.40969201659274</v>
          </cell>
          <cell r="P166">
            <v>296.70650211832697</v>
          </cell>
        </row>
        <row r="167">
          <cell r="F167">
            <v>4.1090305061615764</v>
          </cell>
          <cell r="I167">
            <v>1.5190036499368875E-2</v>
          </cell>
          <cell r="O167">
            <v>3.5385245830025518</v>
          </cell>
          <cell r="P167">
            <v>6.6365259829843328</v>
          </cell>
        </row>
        <row r="168">
          <cell r="F168">
            <v>7005.9073811037451</v>
          </cell>
          <cell r="I168">
            <v>2.4266237141888647</v>
          </cell>
          <cell r="O168">
            <v>7005.9073811037451</v>
          </cell>
          <cell r="P168">
            <v>32044.30222877931</v>
          </cell>
        </row>
        <row r="170">
          <cell r="F170">
            <v>4670.6049207358301</v>
          </cell>
          <cell r="I170">
            <v>12.164790134978812</v>
          </cell>
          <cell r="O170">
            <v>4670.6049207358301</v>
          </cell>
          <cell r="P170">
            <v>21362.868152519542</v>
          </cell>
        </row>
        <row r="172">
          <cell r="F172">
            <v>23353.024603679154</v>
          </cell>
          <cell r="I172">
            <v>8.068464855554252</v>
          </cell>
          <cell r="O172">
            <v>23353.024603679154</v>
          </cell>
          <cell r="P172">
            <v>106814.3407625977</v>
          </cell>
        </row>
        <row r="173">
          <cell r="F173">
            <v>11676.512301839577</v>
          </cell>
          <cell r="I173">
            <v>5.652143902650403</v>
          </cell>
          <cell r="O173">
            <v>11676.512301839577</v>
          </cell>
          <cell r="P173">
            <v>53407.170381298849</v>
          </cell>
        </row>
        <row r="174">
          <cell r="F174">
            <v>2638.8917802157439</v>
          </cell>
          <cell r="I174">
            <v>2.3416193199819029</v>
          </cell>
          <cell r="O174">
            <v>2638.8917802157439</v>
          </cell>
          <cell r="P174">
            <v>12070.02050617354</v>
          </cell>
        </row>
        <row r="175">
          <cell r="F175">
            <v>46.238988715284719</v>
          </cell>
          <cell r="I175">
            <v>1.5651987792184675E-2</v>
          </cell>
          <cell r="O175">
            <v>46.238988715284719</v>
          </cell>
          <cell r="P175">
            <v>211.49239470994343</v>
          </cell>
        </row>
        <row r="179">
          <cell r="F179">
            <v>7005.9073811037451</v>
          </cell>
          <cell r="I179">
            <v>2.3713721413326669</v>
          </cell>
          <cell r="O179">
            <v>7005.9073811037451</v>
          </cell>
          <cell r="P179">
            <v>32044.30222877931</v>
          </cell>
        </row>
        <row r="181">
          <cell r="F181">
            <v>467.06049207358308</v>
          </cell>
          <cell r="I181">
            <v>0.45643919050443116</v>
          </cell>
          <cell r="O181">
            <v>467.06049207358308</v>
          </cell>
          <cell r="P181">
            <v>2136.2868152519541</v>
          </cell>
        </row>
        <row r="182">
          <cell r="F182">
            <v>16347.117222575407</v>
          </cell>
          <cell r="I182">
            <v>9.1651599670876003</v>
          </cell>
          <cell r="O182">
            <v>16347.117222575407</v>
          </cell>
          <cell r="P182">
            <v>74770.038533818399</v>
          </cell>
        </row>
        <row r="184">
          <cell r="F184">
            <v>7706.4981192141213</v>
          </cell>
          <cell r="I184">
            <v>2.0398057066306956</v>
          </cell>
          <cell r="O184">
            <v>7706.4981192141213</v>
          </cell>
          <cell r="P184">
            <v>35248.732451657241</v>
          </cell>
        </row>
        <row r="185">
          <cell r="F185">
            <v>700.59073811037456</v>
          </cell>
          <cell r="I185">
            <v>0.31110547240009945</v>
          </cell>
          <cell r="O185">
            <v>700.59073811037456</v>
          </cell>
          <cell r="P185">
            <v>3204.4302228779306</v>
          </cell>
        </row>
        <row r="186">
          <cell r="F186">
            <v>467.06049207358308</v>
          </cell>
          <cell r="I186">
            <v>0.46470976482626952</v>
          </cell>
          <cell r="O186">
            <v>467.06049207358308</v>
          </cell>
          <cell r="P186">
            <v>2136.2868152519541</v>
          </cell>
        </row>
        <row r="187">
          <cell r="F187">
            <v>7005.9073811037451</v>
          </cell>
          <cell r="I187">
            <v>1.9315351825712983</v>
          </cell>
          <cell r="O187">
            <v>7005.9073811037451</v>
          </cell>
          <cell r="P187">
            <v>32044.30222877931</v>
          </cell>
        </row>
        <row r="188">
          <cell r="F188">
            <v>18682.41968294332</v>
          </cell>
          <cell r="I188">
            <v>6.8503761939898338</v>
          </cell>
          <cell r="O188">
            <v>18682.41968294332</v>
          </cell>
          <cell r="P188">
            <v>85451.47261007817</v>
          </cell>
        </row>
        <row r="190">
          <cell r="F190">
            <v>1868.2419682943323</v>
          </cell>
          <cell r="I190">
            <v>0.81734114841509053</v>
          </cell>
          <cell r="O190">
            <v>1868.2419682943323</v>
          </cell>
          <cell r="P190">
            <v>8545.1472610078163</v>
          </cell>
        </row>
        <row r="191">
          <cell r="F191">
            <v>817.35586112877036</v>
          </cell>
          <cell r="I191">
            <v>0.25297501805843886</v>
          </cell>
          <cell r="O191">
            <v>817.35586112877036</v>
          </cell>
          <cell r="P191">
            <v>3738.5019266909194</v>
          </cell>
        </row>
        <row r="193">
          <cell r="F193">
            <v>700.59073811037456</v>
          </cell>
          <cell r="I193">
            <v>0.39531418522807871</v>
          </cell>
          <cell r="O193">
            <v>700.59073811037456</v>
          </cell>
          <cell r="P193">
            <v>3204.4302228779306</v>
          </cell>
        </row>
        <row r="195">
          <cell r="F195">
            <v>934.12098414716615</v>
          </cell>
          <cell r="I195">
            <v>0.53531866416774199</v>
          </cell>
          <cell r="O195">
            <v>934.12098414716615</v>
          </cell>
          <cell r="P195">
            <v>4272.5736305039081</v>
          </cell>
        </row>
        <row r="196">
          <cell r="F196">
            <v>3035.8931984782894</v>
          </cell>
          <cell r="I196">
            <v>3.0036829279116017</v>
          </cell>
          <cell r="O196">
            <v>3035.8931984782894</v>
          </cell>
          <cell r="P196">
            <v>13885.8642991377</v>
          </cell>
        </row>
        <row r="197">
          <cell r="F197">
            <v>1167.6512301839575</v>
          </cell>
          <cell r="I197">
            <v>0.57059957013381202</v>
          </cell>
          <cell r="O197">
            <v>1167.6512301839575</v>
          </cell>
          <cell r="P197">
            <v>5340.7170381298856</v>
          </cell>
        </row>
        <row r="198">
          <cell r="F198">
            <v>4670.6049207358301</v>
          </cell>
          <cell r="I198">
            <v>1.940635788709957</v>
          </cell>
          <cell r="O198">
            <v>4670.6049207358301</v>
          </cell>
          <cell r="P198">
            <v>21362.868152519542</v>
          </cell>
        </row>
        <row r="200">
          <cell r="F200">
            <v>121.43572793913158</v>
          </cell>
          <cell r="I200">
            <v>0.11249160421676309</v>
          </cell>
          <cell r="O200">
            <v>121.43572793913158</v>
          </cell>
          <cell r="P200">
            <v>555.43457196550798</v>
          </cell>
        </row>
        <row r="201">
          <cell r="F201">
            <v>513.7665412809414</v>
          </cell>
          <cell r="I201">
            <v>0.51000280423543132</v>
          </cell>
          <cell r="O201">
            <v>513.7665412809414</v>
          </cell>
          <cell r="P201">
            <v>2349.9154967771497</v>
          </cell>
        </row>
        <row r="202">
          <cell r="F202">
            <v>233.53024603679154</v>
          </cell>
          <cell r="I202">
            <v>0.18936232179624066</v>
          </cell>
          <cell r="O202">
            <v>233.53024603679154</v>
          </cell>
          <cell r="P202">
            <v>1068.143407625977</v>
          </cell>
        </row>
        <row r="203">
          <cell r="F203">
            <v>36.776715318568783</v>
          </cell>
          <cell r="I203">
            <v>8.7354161261959051E-2</v>
          </cell>
          <cell r="O203">
            <v>34.52739271552413</v>
          </cell>
          <cell r="P203">
            <v>67.347223572387477</v>
          </cell>
        </row>
        <row r="204">
          <cell r="F204">
            <v>25.115994224284055</v>
          </cell>
          <cell r="I204">
            <v>1.1515066552416842E-2</v>
          </cell>
          <cell r="O204">
            <v>20.392046770972527</v>
          </cell>
          <cell r="P204">
            <v>44.981693345838003</v>
          </cell>
        </row>
        <row r="205">
          <cell r="F205">
            <v>26.183830903829019</v>
          </cell>
          <cell r="I205">
            <v>6.9119219511789301E-2</v>
          </cell>
          <cell r="O205">
            <v>25.801957924037069</v>
          </cell>
          <cell r="P205">
            <v>48.13703651336202</v>
          </cell>
        </row>
        <row r="206">
          <cell r="F206">
            <v>3.0857060888023802</v>
          </cell>
          <cell r="I206">
            <v>1.030987658621395E-2</v>
          </cell>
          <cell r="O206">
            <v>2.1483899002081772</v>
          </cell>
          <cell r="P206">
            <v>3.965295316847369</v>
          </cell>
        </row>
        <row r="207">
          <cell r="F207">
            <v>2335.302460367915</v>
          </cell>
          <cell r="I207">
            <v>0.79098496366060445</v>
          </cell>
          <cell r="O207">
            <v>2335.302460367915</v>
          </cell>
          <cell r="P207">
            <v>10681.434076259771</v>
          </cell>
        </row>
        <row r="208">
          <cell r="F208">
            <v>8500.5009557392113</v>
          </cell>
          <cell r="I208">
            <v>2.8905756563744105</v>
          </cell>
          <cell r="O208">
            <v>8500.5009557392113</v>
          </cell>
          <cell r="P208">
            <v>38880.420037585565</v>
          </cell>
        </row>
        <row r="209">
          <cell r="F209">
            <v>116.76512301839577</v>
          </cell>
          <cell r="I209">
            <v>3.9860335215461E-2</v>
          </cell>
          <cell r="O209">
            <v>116.76512301839577</v>
          </cell>
          <cell r="P209">
            <v>534.07170381298852</v>
          </cell>
        </row>
        <row r="210">
          <cell r="F210">
            <v>233.53024603679154</v>
          </cell>
          <cell r="I210">
            <v>7.9134186443665572E-2</v>
          </cell>
          <cell r="O210">
            <v>233.53024603679154</v>
          </cell>
          <cell r="P210">
            <v>1068.143407625977</v>
          </cell>
        </row>
        <row r="211">
          <cell r="F211">
            <v>45.956772893197964</v>
          </cell>
          <cell r="I211">
            <v>1.5904290805204432E-2</v>
          </cell>
          <cell r="O211">
            <v>43.387082684591199</v>
          </cell>
          <cell r="P211">
            <v>167.01976114119344</v>
          </cell>
        </row>
        <row r="213">
          <cell r="F213">
            <v>7.1639099510883026</v>
          </cell>
          <cell r="I213">
            <v>6.3818901555875085E-3</v>
          </cell>
          <cell r="O213">
            <v>0.32174582712797967</v>
          </cell>
          <cell r="P213">
            <v>0.32174582712797967</v>
          </cell>
        </row>
        <row r="214">
          <cell r="F214">
            <v>934.12098414716615</v>
          </cell>
          <cell r="I214">
            <v>0.43157284636732673</v>
          </cell>
          <cell r="O214">
            <v>934.12098414716615</v>
          </cell>
          <cell r="P214">
            <v>4272.5736305039081</v>
          </cell>
        </row>
        <row r="215">
          <cell r="F215">
            <v>9.2117861140482713</v>
          </cell>
          <cell r="I215">
            <v>6.9649118417572644E-3</v>
          </cell>
          <cell r="O215">
            <v>8.8052002061220556</v>
          </cell>
          <cell r="P215">
            <v>17.948293812673739</v>
          </cell>
        </row>
        <row r="216">
          <cell r="F216">
            <v>38.545680415379913</v>
          </cell>
          <cell r="I216">
            <v>0.11486295712545876</v>
          </cell>
          <cell r="O216">
            <v>0.66752818193731145</v>
          </cell>
          <cell r="P216">
            <v>0.66752818193731145</v>
          </cell>
        </row>
        <row r="218">
          <cell r="F218">
            <v>210177.22143311237</v>
          </cell>
          <cell r="I218">
            <v>60.372940850855791</v>
          </cell>
          <cell r="O218">
            <v>210177.22143311237</v>
          </cell>
          <cell r="P218">
            <v>961329.06686337932</v>
          </cell>
        </row>
        <row r="219">
          <cell r="F219">
            <v>46706.049207358308</v>
          </cell>
          <cell r="I219">
            <v>12.919465629115795</v>
          </cell>
          <cell r="O219">
            <v>46706.049207358308</v>
          </cell>
          <cell r="P219">
            <v>213628.6815251954</v>
          </cell>
        </row>
        <row r="220">
          <cell r="F220">
            <v>29.444183487625008</v>
          </cell>
          <cell r="I220">
            <v>6.4244772163396177E-2</v>
          </cell>
          <cell r="O220">
            <v>6.3174256485268288</v>
          </cell>
          <cell r="P220">
            <v>6.3174256485268288</v>
          </cell>
        </row>
        <row r="222">
          <cell r="F222">
            <v>65.486023897816395</v>
          </cell>
          <cell r="I222">
            <v>0.10884036196303516</v>
          </cell>
          <cell r="O222">
            <v>15.935933663008324</v>
          </cell>
          <cell r="P222">
            <v>71.475550217756549</v>
          </cell>
        </row>
        <row r="223">
          <cell r="F223">
            <v>1000000</v>
          </cell>
          <cell r="I223">
            <v>1000000</v>
          </cell>
          <cell r="O223">
            <v>1000000</v>
          </cell>
          <cell r="P223">
            <v>1000000</v>
          </cell>
        </row>
        <row r="224">
          <cell r="F224">
            <v>1000000</v>
          </cell>
          <cell r="I224">
            <v>390</v>
          </cell>
          <cell r="O224">
            <v>1000000</v>
          </cell>
          <cell r="P224">
            <v>1000000</v>
          </cell>
        </row>
        <row r="225">
          <cell r="F225">
            <v>1000000</v>
          </cell>
          <cell r="I225">
            <v>694</v>
          </cell>
          <cell r="O225">
            <v>1000000</v>
          </cell>
          <cell r="P225">
            <v>1000000</v>
          </cell>
        </row>
        <row r="226">
          <cell r="F226">
            <v>77018.649469428274</v>
          </cell>
          <cell r="I226">
            <v>6.9405917310745977</v>
          </cell>
          <cell r="O226">
            <v>76997.08905023626</v>
          </cell>
          <cell r="P226">
            <v>350187.07193839754</v>
          </cell>
        </row>
        <row r="229">
          <cell r="F229">
            <v>7005.9073811037451</v>
          </cell>
          <cell r="I229">
            <v>36.142788967575534</v>
          </cell>
          <cell r="O229">
            <v>7005.9073811037451</v>
          </cell>
          <cell r="P229">
            <v>32044.30222877931</v>
          </cell>
        </row>
        <row r="230">
          <cell r="F230">
            <v>840.7088857324494</v>
          </cell>
          <cell r="I230">
            <v>1.4861484011196651</v>
          </cell>
          <cell r="O230">
            <v>840.7088857324494</v>
          </cell>
          <cell r="P230">
            <v>3845.316267453517</v>
          </cell>
        </row>
        <row r="231">
          <cell r="F231">
            <v>467.06049207358308</v>
          </cell>
          <cell r="I231">
            <v>302.82846298938591</v>
          </cell>
          <cell r="O231">
            <v>467.06049207358308</v>
          </cell>
          <cell r="P231">
            <v>2136.2868152519541</v>
          </cell>
        </row>
        <row r="232">
          <cell r="F232">
            <v>467.06049207358308</v>
          </cell>
          <cell r="I232">
            <v>302.82846298938591</v>
          </cell>
          <cell r="O232">
            <v>467.06049207358308</v>
          </cell>
          <cell r="P232">
            <v>2136.2868152519541</v>
          </cell>
        </row>
        <row r="233">
          <cell r="F233">
            <v>934.12098414716615</v>
          </cell>
          <cell r="I233">
            <v>605.65692597877182</v>
          </cell>
          <cell r="O233">
            <v>934.12098414716615</v>
          </cell>
          <cell r="P233">
            <v>4272.5736305039081</v>
          </cell>
        </row>
        <row r="234">
          <cell r="F234">
            <v>934.12098414716615</v>
          </cell>
          <cell r="I234">
            <v>605.65692597877182</v>
          </cell>
          <cell r="O234">
            <v>934.12098414716615</v>
          </cell>
          <cell r="P234">
            <v>4272.5736305039081</v>
          </cell>
        </row>
        <row r="235">
          <cell r="F235">
            <v>23353.024603679154</v>
          </cell>
          <cell r="I235">
            <v>15141.423149469296</v>
          </cell>
          <cell r="O235">
            <v>23353.024603679154</v>
          </cell>
          <cell r="P235">
            <v>106814.3407625977</v>
          </cell>
        </row>
        <row r="236">
          <cell r="F236">
            <v>70059.073811037451</v>
          </cell>
          <cell r="I236">
            <v>57.157189216235849</v>
          </cell>
          <cell r="O236">
            <v>70059.073811037451</v>
          </cell>
          <cell r="P236">
            <v>320443.02228779305</v>
          </cell>
        </row>
        <row r="237">
          <cell r="F237">
            <v>11676.512301839577</v>
          </cell>
          <cell r="I237">
            <v>2.0556675805625511</v>
          </cell>
          <cell r="O237">
            <v>11676.512301839577</v>
          </cell>
          <cell r="P237">
            <v>53407.170381298849</v>
          </cell>
        </row>
        <row r="238">
          <cell r="F238">
            <v>467.06049207358308</v>
          </cell>
          <cell r="I238">
            <v>9.2135659169585424E-2</v>
          </cell>
          <cell r="O238">
            <v>467.06049207358308</v>
          </cell>
          <cell r="P238">
            <v>2136.2868152519541</v>
          </cell>
        </row>
        <row r="239">
          <cell r="F239">
            <v>1167.6512301839575</v>
          </cell>
          <cell r="I239">
            <v>2.6159931213813077</v>
          </cell>
          <cell r="O239">
            <v>1167.6512301839575</v>
          </cell>
          <cell r="P239">
            <v>5340.7170381298856</v>
          </cell>
        </row>
        <row r="240">
          <cell r="F240">
            <v>233.53024603679154</v>
          </cell>
          <cell r="I240">
            <v>2.4061522130449368E-2</v>
          </cell>
          <cell r="O240">
            <v>233.53024603679154</v>
          </cell>
          <cell r="P240">
            <v>1068.143407625977</v>
          </cell>
        </row>
        <row r="252">
          <cell r="F252">
            <v>107012.7638395111</v>
          </cell>
          <cell r="I252">
            <v>1298.6077398526363</v>
          </cell>
          <cell r="O252">
            <v>5490.3710439576207</v>
          </cell>
          <cell r="P252">
            <v>5490.3710439576207</v>
          </cell>
        </row>
      </sheetData>
      <sheetData sheetId="2" refreshError="1">
        <row r="3">
          <cell r="R3">
            <v>200</v>
          </cell>
        </row>
        <row r="4">
          <cell r="R4">
            <v>5</v>
          </cell>
        </row>
        <row r="5">
          <cell r="R5">
            <v>700</v>
          </cell>
        </row>
        <row r="6">
          <cell r="R6">
            <v>4</v>
          </cell>
        </row>
        <row r="7">
          <cell r="R7">
            <v>100</v>
          </cell>
        </row>
        <row r="8">
          <cell r="R8">
            <v>12000</v>
          </cell>
        </row>
        <row r="9">
          <cell r="R9">
            <v>400</v>
          </cell>
        </row>
        <row r="10">
          <cell r="R10">
            <v>300</v>
          </cell>
        </row>
        <row r="11">
          <cell r="R11">
            <v>10</v>
          </cell>
        </row>
        <row r="12">
          <cell r="R12">
            <v>18000</v>
          </cell>
        </row>
        <row r="13">
          <cell r="R13">
            <v>50</v>
          </cell>
        </row>
        <row r="14">
          <cell r="R14">
            <v>330</v>
          </cell>
        </row>
        <row r="15">
          <cell r="R15">
            <v>0.1</v>
          </cell>
        </row>
        <row r="16">
          <cell r="R16">
            <v>300</v>
          </cell>
        </row>
        <row r="17">
          <cell r="R17">
            <v>1000</v>
          </cell>
        </row>
        <row r="18">
          <cell r="R18">
            <v>1000</v>
          </cell>
        </row>
        <row r="19">
          <cell r="R19">
            <v>300</v>
          </cell>
        </row>
        <row r="20">
          <cell r="R20">
            <v>7</v>
          </cell>
        </row>
        <row r="21">
          <cell r="R21">
            <v>1.2</v>
          </cell>
        </row>
        <row r="24">
          <cell r="R24">
            <v>1.7</v>
          </cell>
        </row>
        <row r="25">
          <cell r="R25">
            <v>2.4</v>
          </cell>
        </row>
        <row r="26">
          <cell r="R26">
            <v>1</v>
          </cell>
        </row>
        <row r="27">
          <cell r="R27">
            <v>930</v>
          </cell>
        </row>
        <row r="28">
          <cell r="R28">
            <v>930</v>
          </cell>
        </row>
        <row r="29">
          <cell r="R29">
            <v>1900</v>
          </cell>
        </row>
        <row r="31">
          <cell r="R31">
            <v>360</v>
          </cell>
        </row>
        <row r="32">
          <cell r="R32" t="str">
            <v>NA</v>
          </cell>
        </row>
        <row r="33">
          <cell r="R33">
            <v>11</v>
          </cell>
        </row>
        <row r="34">
          <cell r="R34">
            <v>18</v>
          </cell>
        </row>
        <row r="35">
          <cell r="R35">
            <v>15</v>
          </cell>
        </row>
        <row r="38">
          <cell r="R38">
            <v>9</v>
          </cell>
        </row>
        <row r="44">
          <cell r="R44">
            <v>300</v>
          </cell>
        </row>
        <row r="45">
          <cell r="R45">
            <v>200</v>
          </cell>
        </row>
        <row r="48">
          <cell r="R48">
            <v>90</v>
          </cell>
        </row>
        <row r="50">
          <cell r="R50">
            <v>21000</v>
          </cell>
        </row>
        <row r="51">
          <cell r="R51">
            <v>450</v>
          </cell>
        </row>
        <row r="52">
          <cell r="R52">
            <v>210.00000000000003</v>
          </cell>
        </row>
        <row r="53">
          <cell r="R53">
            <v>12</v>
          </cell>
        </row>
        <row r="54">
          <cell r="R54">
            <v>10</v>
          </cell>
        </row>
        <row r="55">
          <cell r="R55">
            <v>100</v>
          </cell>
        </row>
        <row r="56">
          <cell r="R56">
            <v>100</v>
          </cell>
        </row>
        <row r="57">
          <cell r="R57">
            <v>8</v>
          </cell>
        </row>
        <row r="58">
          <cell r="R58" t="str">
            <v>NA</v>
          </cell>
        </row>
        <row r="59">
          <cell r="R59">
            <v>0.83</v>
          </cell>
        </row>
        <row r="60">
          <cell r="R60">
            <v>60</v>
          </cell>
        </row>
        <row r="61">
          <cell r="R61">
            <v>94</v>
          </cell>
        </row>
        <row r="62">
          <cell r="R62">
            <v>1000</v>
          </cell>
        </row>
        <row r="63">
          <cell r="R63">
            <v>3600</v>
          </cell>
        </row>
        <row r="64">
          <cell r="R64">
            <v>300</v>
          </cell>
        </row>
        <row r="65">
          <cell r="R65">
            <v>140</v>
          </cell>
        </row>
        <row r="66">
          <cell r="R66">
            <v>62</v>
          </cell>
        </row>
        <row r="67">
          <cell r="R67">
            <v>30</v>
          </cell>
        </row>
        <row r="68">
          <cell r="R68">
            <v>2600</v>
          </cell>
        </row>
        <row r="69">
          <cell r="R69">
            <v>2.6</v>
          </cell>
        </row>
        <row r="70">
          <cell r="R70">
            <v>61</v>
          </cell>
        </row>
        <row r="72">
          <cell r="R72">
            <v>500</v>
          </cell>
        </row>
        <row r="74">
          <cell r="R74">
            <v>1500</v>
          </cell>
        </row>
        <row r="76">
          <cell r="R76">
            <v>150000</v>
          </cell>
        </row>
        <row r="78">
          <cell r="R78">
            <v>250000</v>
          </cell>
        </row>
        <row r="80">
          <cell r="R80">
            <v>50000</v>
          </cell>
        </row>
        <row r="81">
          <cell r="R81">
            <v>100</v>
          </cell>
        </row>
        <row r="82">
          <cell r="R82">
            <v>410</v>
          </cell>
        </row>
        <row r="83">
          <cell r="R83">
            <v>20000</v>
          </cell>
        </row>
        <row r="84">
          <cell r="R84">
            <v>5600</v>
          </cell>
        </row>
        <row r="85">
          <cell r="R85">
            <v>14000</v>
          </cell>
        </row>
        <row r="86">
          <cell r="R86">
            <v>0.1</v>
          </cell>
        </row>
        <row r="87">
          <cell r="R87">
            <v>2.5</v>
          </cell>
        </row>
        <row r="88">
          <cell r="R88">
            <v>300</v>
          </cell>
        </row>
        <row r="89">
          <cell r="R89">
            <v>310</v>
          </cell>
        </row>
        <row r="90">
          <cell r="R90">
            <v>590</v>
          </cell>
        </row>
        <row r="91">
          <cell r="R91">
            <v>130</v>
          </cell>
        </row>
        <row r="92">
          <cell r="R92">
            <v>39</v>
          </cell>
        </row>
        <row r="93">
          <cell r="R93">
            <v>39</v>
          </cell>
        </row>
        <row r="94">
          <cell r="R94">
            <v>2</v>
          </cell>
        </row>
        <row r="95">
          <cell r="R95">
            <v>19</v>
          </cell>
        </row>
        <row r="96">
          <cell r="R96">
            <v>7.5999999999999998E-2</v>
          </cell>
        </row>
        <row r="97">
          <cell r="R97">
            <v>2000</v>
          </cell>
        </row>
        <row r="98">
          <cell r="R98">
            <v>150</v>
          </cell>
        </row>
        <row r="99">
          <cell r="R99">
            <v>150</v>
          </cell>
        </row>
        <row r="100">
          <cell r="R100">
            <v>260</v>
          </cell>
        </row>
        <row r="101">
          <cell r="R101">
            <v>260</v>
          </cell>
        </row>
        <row r="102">
          <cell r="R102" t="str">
            <v>NA</v>
          </cell>
        </row>
        <row r="103">
          <cell r="R103" t="str">
            <v>NA</v>
          </cell>
        </row>
        <row r="104">
          <cell r="R104" t="str">
            <v>NA</v>
          </cell>
        </row>
        <row r="106">
          <cell r="R106">
            <v>260</v>
          </cell>
        </row>
        <row r="107">
          <cell r="R107">
            <v>1000</v>
          </cell>
        </row>
        <row r="108">
          <cell r="R108">
            <v>16</v>
          </cell>
        </row>
        <row r="109">
          <cell r="R109">
            <v>15000</v>
          </cell>
        </row>
        <row r="110">
          <cell r="R110">
            <v>900</v>
          </cell>
        </row>
        <row r="111">
          <cell r="R111">
            <v>0.1</v>
          </cell>
        </row>
        <row r="112">
          <cell r="R112">
            <v>7.9</v>
          </cell>
        </row>
        <row r="113">
          <cell r="R113">
            <v>160</v>
          </cell>
        </row>
        <row r="114">
          <cell r="R114">
            <v>5.0000000000000001E-3</v>
          </cell>
        </row>
        <row r="115">
          <cell r="R115">
            <v>250</v>
          </cell>
        </row>
        <row r="116">
          <cell r="R116">
            <v>0.1</v>
          </cell>
        </row>
        <row r="117">
          <cell r="R117">
            <v>190</v>
          </cell>
        </row>
        <row r="118">
          <cell r="R118" t="str">
            <v>NA</v>
          </cell>
        </row>
        <row r="119">
          <cell r="R119">
            <v>0.27</v>
          </cell>
        </row>
        <row r="120">
          <cell r="R120">
            <v>0.6</v>
          </cell>
        </row>
        <row r="121">
          <cell r="R121">
            <v>65</v>
          </cell>
        </row>
        <row r="122">
          <cell r="R122">
            <v>18</v>
          </cell>
        </row>
        <row r="123">
          <cell r="R123" t="str">
            <v>NA</v>
          </cell>
        </row>
        <row r="124">
          <cell r="R124">
            <v>780</v>
          </cell>
        </row>
        <row r="125">
          <cell r="R125" t="str">
            <v>NA</v>
          </cell>
        </row>
        <row r="126">
          <cell r="R126" t="str">
            <v>NA</v>
          </cell>
        </row>
        <row r="127">
          <cell r="R127" t="str">
            <v>NA</v>
          </cell>
        </row>
        <row r="128">
          <cell r="R128" t="str">
            <v>3.10-5</v>
          </cell>
        </row>
        <row r="130">
          <cell r="R130">
            <v>0.02</v>
          </cell>
        </row>
        <row r="132">
          <cell r="R132">
            <v>1400</v>
          </cell>
        </row>
        <row r="134">
          <cell r="R134">
            <v>0.1</v>
          </cell>
        </row>
        <row r="136">
          <cell r="R136">
            <v>40</v>
          </cell>
        </row>
        <row r="137">
          <cell r="R137">
            <v>0.03</v>
          </cell>
        </row>
        <row r="138">
          <cell r="R138" t="str">
            <v>NA</v>
          </cell>
        </row>
        <row r="139">
          <cell r="R139">
            <v>0.03</v>
          </cell>
        </row>
        <row r="140">
          <cell r="R140" t="str">
            <v>NA</v>
          </cell>
        </row>
        <row r="141">
          <cell r="R141" t="str">
            <v>NA</v>
          </cell>
        </row>
        <row r="142">
          <cell r="R142">
            <v>0.1</v>
          </cell>
        </row>
        <row r="143">
          <cell r="R143" t="str">
            <v>NA</v>
          </cell>
        </row>
        <row r="144">
          <cell r="R144" t="str">
            <v>NA</v>
          </cell>
        </row>
        <row r="145">
          <cell r="R145" t="str">
            <v>NA</v>
          </cell>
        </row>
        <row r="146">
          <cell r="R146" t="str">
            <v>NA</v>
          </cell>
        </row>
        <row r="147">
          <cell r="R147" t="str">
            <v>NA</v>
          </cell>
        </row>
        <row r="148">
          <cell r="R148" t="str">
            <v>NA</v>
          </cell>
        </row>
        <row r="149">
          <cell r="R149">
            <v>2</v>
          </cell>
        </row>
        <row r="150">
          <cell r="R150">
            <v>1500</v>
          </cell>
        </row>
        <row r="151">
          <cell r="R151" t="str">
            <v>NA</v>
          </cell>
        </row>
        <row r="154">
          <cell r="R154" t="str">
            <v>NA</v>
          </cell>
        </row>
        <row r="155">
          <cell r="R155" t="str">
            <v>NA</v>
          </cell>
        </row>
        <row r="156">
          <cell r="R156">
            <v>40</v>
          </cell>
        </row>
        <row r="157">
          <cell r="R157">
            <v>0.1</v>
          </cell>
        </row>
        <row r="158">
          <cell r="R158">
            <v>0.1</v>
          </cell>
        </row>
        <row r="159">
          <cell r="R159">
            <v>0.1</v>
          </cell>
        </row>
        <row r="160">
          <cell r="R160">
            <v>0.1</v>
          </cell>
        </row>
        <row r="161">
          <cell r="R161">
            <v>0.1</v>
          </cell>
        </row>
        <row r="162">
          <cell r="R162">
            <v>0.1</v>
          </cell>
        </row>
        <row r="163">
          <cell r="R163">
            <v>0.1</v>
          </cell>
        </row>
        <row r="164">
          <cell r="R164">
            <v>0.1</v>
          </cell>
        </row>
        <row r="165">
          <cell r="R165">
            <v>0.1</v>
          </cell>
        </row>
        <row r="166">
          <cell r="R166">
            <v>0.1</v>
          </cell>
        </row>
        <row r="167">
          <cell r="R167">
            <v>0.1</v>
          </cell>
        </row>
        <row r="168">
          <cell r="R168">
            <v>0.1</v>
          </cell>
        </row>
        <row r="169">
          <cell r="R169">
            <v>0.1</v>
          </cell>
        </row>
        <row r="170">
          <cell r="R170">
            <v>0.1</v>
          </cell>
        </row>
        <row r="171">
          <cell r="R171">
            <v>0.1</v>
          </cell>
        </row>
        <row r="172">
          <cell r="R172">
            <v>0.1</v>
          </cell>
        </row>
        <row r="173">
          <cell r="R173">
            <v>0.1</v>
          </cell>
        </row>
        <row r="174">
          <cell r="R174">
            <v>0.1</v>
          </cell>
        </row>
        <row r="175">
          <cell r="R175">
            <v>0.1</v>
          </cell>
        </row>
        <row r="176">
          <cell r="R176">
            <v>0.1</v>
          </cell>
        </row>
        <row r="177">
          <cell r="R177">
            <v>0.1</v>
          </cell>
        </row>
        <row r="178">
          <cell r="R178">
            <v>0.1</v>
          </cell>
        </row>
        <row r="179">
          <cell r="R179">
            <v>0.1</v>
          </cell>
        </row>
        <row r="180">
          <cell r="R180">
            <v>0.1</v>
          </cell>
        </row>
        <row r="181">
          <cell r="R181">
            <v>0.1</v>
          </cell>
        </row>
        <row r="182">
          <cell r="R182">
            <v>0.1</v>
          </cell>
        </row>
        <row r="183">
          <cell r="R183">
            <v>0.1</v>
          </cell>
        </row>
        <row r="184">
          <cell r="R184">
            <v>0.1</v>
          </cell>
        </row>
        <row r="185">
          <cell r="R185">
            <v>0.1</v>
          </cell>
        </row>
        <row r="186">
          <cell r="R186">
            <v>0.1</v>
          </cell>
        </row>
        <row r="187">
          <cell r="R187">
            <v>0.1</v>
          </cell>
        </row>
        <row r="188">
          <cell r="R188">
            <v>0.1</v>
          </cell>
        </row>
        <row r="189">
          <cell r="R189">
            <v>0.1</v>
          </cell>
        </row>
        <row r="190">
          <cell r="R190">
            <v>0.1</v>
          </cell>
        </row>
        <row r="191">
          <cell r="R191">
            <v>0.1</v>
          </cell>
        </row>
        <row r="192">
          <cell r="R192">
            <v>0.1</v>
          </cell>
        </row>
        <row r="193">
          <cell r="R193">
            <v>0.1</v>
          </cell>
        </row>
        <row r="194">
          <cell r="R194">
            <v>0.1</v>
          </cell>
        </row>
        <row r="195">
          <cell r="R195">
            <v>0.1</v>
          </cell>
        </row>
        <row r="196">
          <cell r="R196">
            <v>0.1</v>
          </cell>
        </row>
        <row r="197">
          <cell r="R197">
            <v>0.1</v>
          </cell>
        </row>
        <row r="198">
          <cell r="R198">
            <v>0.1</v>
          </cell>
        </row>
        <row r="199">
          <cell r="R199">
            <v>0.1</v>
          </cell>
        </row>
        <row r="200">
          <cell r="R200">
            <v>0.1</v>
          </cell>
        </row>
        <row r="201">
          <cell r="R201">
            <v>0.1</v>
          </cell>
        </row>
        <row r="202">
          <cell r="R202">
            <v>0.1</v>
          </cell>
        </row>
        <row r="203">
          <cell r="R203">
            <v>180</v>
          </cell>
        </row>
        <row r="204">
          <cell r="R204">
            <v>0.24</v>
          </cell>
        </row>
        <row r="205">
          <cell r="R205">
            <v>4.9000000000000002E-2</v>
          </cell>
        </row>
        <row r="206">
          <cell r="R206">
            <v>0.1</v>
          </cell>
        </row>
        <row r="207">
          <cell r="R207">
            <v>7.5</v>
          </cell>
        </row>
        <row r="208">
          <cell r="R208">
            <v>60000000</v>
          </cell>
        </row>
        <row r="209">
          <cell r="R209">
            <v>140</v>
          </cell>
        </row>
        <row r="210">
          <cell r="R210">
            <v>1200.0000000000002</v>
          </cell>
        </row>
        <row r="211">
          <cell r="R211">
            <v>0.1</v>
          </cell>
        </row>
        <row r="212">
          <cell r="R212">
            <v>50</v>
          </cell>
        </row>
        <row r="213">
          <cell r="R213">
            <v>9</v>
          </cell>
        </row>
        <row r="214">
          <cell r="R214">
            <v>49800</v>
          </cell>
        </row>
        <row r="215">
          <cell r="R215">
            <v>49800</v>
          </cell>
        </row>
        <row r="216">
          <cell r="R216">
            <v>49800</v>
          </cell>
        </row>
        <row r="217">
          <cell r="R217">
            <v>1980</v>
          </cell>
        </row>
        <row r="218">
          <cell r="R218">
            <v>190</v>
          </cell>
        </row>
        <row r="220">
          <cell r="R220">
            <v>180</v>
          </cell>
        </row>
        <row r="221">
          <cell r="R221">
            <v>0.1</v>
          </cell>
        </row>
        <row r="222">
          <cell r="R222">
            <v>0.1</v>
          </cell>
        </row>
        <row r="223">
          <cell r="R223">
            <v>0.1</v>
          </cell>
        </row>
        <row r="224">
          <cell r="R224">
            <v>0.1</v>
          </cell>
        </row>
        <row r="225">
          <cell r="R225">
            <v>0.1</v>
          </cell>
        </row>
        <row r="226">
          <cell r="R226">
            <v>0.1</v>
          </cell>
        </row>
        <row r="227">
          <cell r="R227">
            <v>0.1</v>
          </cell>
        </row>
        <row r="228">
          <cell r="R228">
            <v>0.1</v>
          </cell>
        </row>
        <row r="229">
          <cell r="R229">
            <v>0.1</v>
          </cell>
        </row>
        <row r="230">
          <cell r="R230">
            <v>0.1</v>
          </cell>
        </row>
        <row r="231">
          <cell r="R231">
            <v>0.1</v>
          </cell>
        </row>
        <row r="232">
          <cell r="R232">
            <v>0.1</v>
          </cell>
        </row>
        <row r="233">
          <cell r="R233">
            <v>0.1</v>
          </cell>
        </row>
        <row r="234">
          <cell r="R234">
            <v>0.1</v>
          </cell>
        </row>
        <row r="235">
          <cell r="R235">
            <v>0.1</v>
          </cell>
        </row>
        <row r="236">
          <cell r="R236">
            <v>0.1</v>
          </cell>
        </row>
        <row r="237">
          <cell r="R237">
            <v>0.1</v>
          </cell>
        </row>
        <row r="238">
          <cell r="R238">
            <v>0.1</v>
          </cell>
        </row>
        <row r="239">
          <cell r="R239">
            <v>0.1</v>
          </cell>
        </row>
        <row r="243">
          <cell r="R243">
            <v>40000</v>
          </cell>
        </row>
      </sheetData>
      <sheetData sheetId="3"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3" Type="http://schemas.openxmlformats.org/officeDocument/2006/relationships/hyperlink" Target="http://www.issep.be/wp-content/uploads/S-II-4v3-Dosage-du-CrVI-dans-les-sols.pdf" TargetMode="External"/><Relationship Id="rId18" Type="http://schemas.openxmlformats.org/officeDocument/2006/relationships/hyperlink" Target="http://www.iso.org/iso/fr/home/store/catalogue_tc/catalogue_detail.htm?csnumber=41478" TargetMode="External"/><Relationship Id="rId26" Type="http://schemas.openxmlformats.org/officeDocument/2006/relationships/hyperlink" Target="http://www.iso.org/iso/fr/home/store/catalogue_tc/catalogue_detail.htm?csnumber=33387" TargetMode="External"/><Relationship Id="rId39" Type="http://schemas.openxmlformats.org/officeDocument/2006/relationships/hyperlink" Target="http://www.iso.org/iso/fr/home/store/catalogue_tc/catalogue_detail.htm?csnumber=53737" TargetMode="External"/><Relationship Id="rId21" Type="http://schemas.openxmlformats.org/officeDocument/2006/relationships/hyperlink" Target="http://www.nbn.be/fr/catalogue/standard/nbn-en-16174?fulltext=16174" TargetMode="External"/><Relationship Id="rId34" Type="http://schemas.openxmlformats.org/officeDocument/2006/relationships/hyperlink" Target="http://www.nbn.be/fr/catalogue/standard/nbn-en-16171?fulltext=16171&amp;search_title_only=1" TargetMode="External"/><Relationship Id="rId42" Type="http://schemas.openxmlformats.org/officeDocument/2006/relationships/hyperlink" Target="http://www.iso.org/iso/fr/catalogue_detail.htm?csnumber=40879" TargetMode="External"/><Relationship Id="rId47" Type="http://schemas.openxmlformats.org/officeDocument/2006/relationships/hyperlink" Target="http://www.issep.be/wp-content/uploads/S-II-5.2v3-Dosage-des-cyanures-totaux-et-libres-M%C3%A9thodes-danalyse-en-flux-continu-2.pdf" TargetMode="External"/><Relationship Id="rId50" Type="http://schemas.openxmlformats.org/officeDocument/2006/relationships/hyperlink" Target="http://www.issep.be/wp-content/uploads/5-S-I-4V1-Essai-de-lixiviation-de-sols-et-d%C3%A9chets-fragment%C3%A9s-de-s%C3%A9diments-et-de-boues.pdf" TargetMode="External"/><Relationship Id="rId55" Type="http://schemas.openxmlformats.org/officeDocument/2006/relationships/hyperlink" Target="https://www.epa.gov/sites/production/files/2015-12/documents/8260c.pdf" TargetMode="External"/><Relationship Id="rId7" Type="http://schemas.openxmlformats.org/officeDocument/2006/relationships/hyperlink" Target="http://www.issep.be/wp-content/uploads/1-S-II-1v2-Extraction-des-ETM-solubles-dans-lER.pdf" TargetMode="External"/><Relationship Id="rId12" Type="http://schemas.openxmlformats.org/officeDocument/2006/relationships/hyperlink" Target="http://www.issep.be/wp-content/uploads/CWEA-S-II-3v1.pdf" TargetMode="External"/><Relationship Id="rId17" Type="http://schemas.openxmlformats.org/officeDocument/2006/relationships/hyperlink" Target="http://www.issep.be/wp-content/uploads/1-S-II-1v2-Extraction-des-ETM-solubles-dans-lER.pdf" TargetMode="External"/><Relationship Id="rId25" Type="http://schemas.openxmlformats.org/officeDocument/2006/relationships/hyperlink" Target="http://www.iso.org/iso/fr/home/store/catalogue_tc/catalogue_detail.htm?csnumber=54337" TargetMode="External"/><Relationship Id="rId33" Type="http://schemas.openxmlformats.org/officeDocument/2006/relationships/hyperlink" Target="http://www.nbn.be/fr/catalogue/standard/nbn-en-16175-1" TargetMode="External"/><Relationship Id="rId38" Type="http://schemas.openxmlformats.org/officeDocument/2006/relationships/hyperlink" Target="http://www.iso.org/iso/fr/home/store/catalogue_tc/catalogue_detail.htm?csnumber=53532" TargetMode="External"/><Relationship Id="rId46" Type="http://schemas.openxmlformats.org/officeDocument/2006/relationships/hyperlink" Target="http://www.issep.be/wp-content/uploads/S-II-5.1v3-Dosage-des-cyanures-totaux-et-libres.pdf" TargetMode="External"/><Relationship Id="rId2" Type="http://schemas.openxmlformats.org/officeDocument/2006/relationships/hyperlink" Target="http://www.iso.org/iso/fr/home/store/catalogue_tc/catalogue_detail.htm?csnumber=40653" TargetMode="External"/><Relationship Id="rId16" Type="http://schemas.openxmlformats.org/officeDocument/2006/relationships/hyperlink" Target="http://www.issep.be/wp-content/uploads/1-S-II-1v2-Extraction-des-ETM-solubles-dans-lER.pdf" TargetMode="External"/><Relationship Id="rId20" Type="http://schemas.openxmlformats.org/officeDocument/2006/relationships/hyperlink" Target="http://www.nbn.be/fr/catalogue/standard/nbn-en-iso-15913?fulltext=herbicides&amp;search_title_only=0" TargetMode="External"/><Relationship Id="rId29" Type="http://schemas.openxmlformats.org/officeDocument/2006/relationships/hyperlink" Target="http://www.issep.be/wp-content/uploads/1-S-II-1v2-Extraction-des-ETM-solubles-dans-lER.pdf" TargetMode="External"/><Relationship Id="rId41" Type="http://schemas.openxmlformats.org/officeDocument/2006/relationships/hyperlink" Target="https://www.epa.gov/sites/production/files/2015-12/documents/8141b.pdf" TargetMode="External"/><Relationship Id="rId54" Type="http://schemas.openxmlformats.org/officeDocument/2006/relationships/hyperlink" Target="https://www.epa.gov/sites/production/files/2015-12/documents/5021a.pdf" TargetMode="External"/><Relationship Id="rId1" Type="http://schemas.openxmlformats.org/officeDocument/2006/relationships/hyperlink" Target="http://www.nbn.be/fr/catalogue/standard/nbn-en-iso-15009-0?fulltext=15009" TargetMode="External"/><Relationship Id="rId6" Type="http://schemas.openxmlformats.org/officeDocument/2006/relationships/hyperlink" Target="http://www.issep.be/wp-content/uploads/S-III-1-2v1_volatils_sol.pdf" TargetMode="External"/><Relationship Id="rId11" Type="http://schemas.openxmlformats.org/officeDocument/2006/relationships/hyperlink" Target="http://www.nbn.be/fr/catalogue/standard/cents-16183?fulltext=16183" TargetMode="External"/><Relationship Id="rId24" Type="http://schemas.openxmlformats.org/officeDocument/2006/relationships/hyperlink" Target="http://www.nbn.be/fr/catalogue/standard/nbn-en-iso-22155-0" TargetMode="External"/><Relationship Id="rId32" Type="http://schemas.openxmlformats.org/officeDocument/2006/relationships/hyperlink" Target="http://www.nbn.be/fr/catalogue/standard/nbn-en-16175-2?fulltext=biod%C3%A9chets" TargetMode="External"/><Relationship Id="rId37" Type="http://schemas.openxmlformats.org/officeDocument/2006/relationships/hyperlink" Target="http://www.iso.org/iso/fr/home/store/catalogue_tc/catalogue_detail.htm?csnumber=51022" TargetMode="External"/><Relationship Id="rId40" Type="http://schemas.openxmlformats.org/officeDocument/2006/relationships/hyperlink" Target="http://www.nbn.be/fr/catalogue/standard/nbn-en-iso-17380?fulltext=17380&amp;search_title_only=1" TargetMode="External"/><Relationship Id="rId45" Type="http://schemas.openxmlformats.org/officeDocument/2006/relationships/hyperlink" Target="http://www.nbn.be/fr/catalogue/standard/nbn-en-16170?fulltext=16170&amp;search_title_only=1" TargetMode="External"/><Relationship Id="rId53" Type="http://schemas.openxmlformats.org/officeDocument/2006/relationships/hyperlink" Target="https://www.epa.gov/sites/production/files/2015-12/documents/8260c.pdf" TargetMode="External"/><Relationship Id="rId5" Type="http://schemas.openxmlformats.org/officeDocument/2006/relationships/hyperlink" Target="http://www.issep.be/wp-content/uploads/S-III-1-1v3_volatils_sols.pdf" TargetMode="External"/><Relationship Id="rId15" Type="http://schemas.openxmlformats.org/officeDocument/2006/relationships/hyperlink" Target="http://www.nbn.be/fr/catalogue/standard/nbn-en-16174?fulltext=16174" TargetMode="External"/><Relationship Id="rId23" Type="http://schemas.openxmlformats.org/officeDocument/2006/relationships/hyperlink" Target="http://www.nbn.be/fr/catalogue/standard/nbn-en-16167?fulltext=16167" TargetMode="External"/><Relationship Id="rId28" Type="http://schemas.openxmlformats.org/officeDocument/2006/relationships/hyperlink" Target="http://www.iso.org/iso/fr/catalogue_detail.htm?csnumber=32422" TargetMode="External"/><Relationship Id="rId36" Type="http://schemas.openxmlformats.org/officeDocument/2006/relationships/hyperlink" Target="http://www.iso.org/iso/fr/home/store/catalogue_tc/catalogue_detail.htm?csnumber=32399" TargetMode="External"/><Relationship Id="rId49" Type="http://schemas.openxmlformats.org/officeDocument/2006/relationships/hyperlink" Target="http://www.issep.be/wp-content/uploads/CWEA-S-II-6.1v3.pdf" TargetMode="External"/><Relationship Id="rId10" Type="http://schemas.openxmlformats.org/officeDocument/2006/relationships/hyperlink" Target="http://www.iso.org/iso/iso_catalogue/catalogue_tc/catalogue_detail.htm?csnumber=59260" TargetMode="External"/><Relationship Id="rId19" Type="http://schemas.openxmlformats.org/officeDocument/2006/relationships/hyperlink" Target="http://www.nbn.be/fr/catalogue/standard/cents-16190?fulltext=16190" TargetMode="External"/><Relationship Id="rId31" Type="http://schemas.openxmlformats.org/officeDocument/2006/relationships/hyperlink" Target="https://www.epa.gov/sites/production/files/2015-07/documents/epa-8315a.pdf" TargetMode="External"/><Relationship Id="rId44" Type="http://schemas.openxmlformats.org/officeDocument/2006/relationships/hyperlink" Target="http://www.nbn.be/fr/catalogue/standard/nbn-en-12457-2" TargetMode="External"/><Relationship Id="rId52" Type="http://schemas.openxmlformats.org/officeDocument/2006/relationships/hyperlink" Target="https://www.epa.gov/sites/production/files/2015-07/documents/epa-5035a.pdf" TargetMode="External"/><Relationship Id="rId4" Type="http://schemas.openxmlformats.org/officeDocument/2006/relationships/hyperlink" Target="http://www.iso.org/iso/fr/home/store/catalogue_tc/catalogue_detail.htm?csnumber=44538" TargetMode="External"/><Relationship Id="rId9" Type="http://schemas.openxmlformats.org/officeDocument/2006/relationships/hyperlink" Target="http://www.issep.be/wp-content/uploads/S-II-2.2v1-Dosage-des-ETM-dans-les-extraits-deau-r%C3%A9gale-par-ICP.pdf" TargetMode="External"/><Relationship Id="rId14" Type="http://schemas.openxmlformats.org/officeDocument/2006/relationships/hyperlink" Target="http://www.iso.org/iso/home/store/catalogue_tc/catalogue_detail.htm?csnumber=32401" TargetMode="External"/><Relationship Id="rId22" Type="http://schemas.openxmlformats.org/officeDocument/2006/relationships/hyperlink" Target="http://www.nbn.be/fr/catalogue/standard/nbn-en-16174?fulltext=16174" TargetMode="External"/><Relationship Id="rId27" Type="http://schemas.openxmlformats.org/officeDocument/2006/relationships/hyperlink" Target="http://www.nbn.be/fr/catalogue/standard/nbn-en-15192" TargetMode="External"/><Relationship Id="rId30" Type="http://schemas.openxmlformats.org/officeDocument/2006/relationships/hyperlink" Target="http://www.nbn.be/fr/catalogue/standard/nbn-en-16174?fulltext=16174" TargetMode="External"/><Relationship Id="rId35" Type="http://schemas.openxmlformats.org/officeDocument/2006/relationships/hyperlink" Target="http://www.iso.org/iso/fr/home/store/catalogue_tc/catalogue_detail.htm?csnumber=36706" TargetMode="External"/><Relationship Id="rId43" Type="http://schemas.openxmlformats.org/officeDocument/2006/relationships/hyperlink" Target="http://www.nbn.be/fr/catalogue/standard/nbn-en-iso-10304-1-0?fulltext=10304" TargetMode="External"/><Relationship Id="rId48" Type="http://schemas.openxmlformats.org/officeDocument/2006/relationships/hyperlink" Target="http://www.issep.be/wp-content/uploads/S-III-3-2v1_HAP-GC_MS_sol.pdf" TargetMode="External"/><Relationship Id="rId56" Type="http://schemas.openxmlformats.org/officeDocument/2006/relationships/printerSettings" Target="../printerSettings/printerSettings5.bin"/><Relationship Id="rId8" Type="http://schemas.openxmlformats.org/officeDocument/2006/relationships/hyperlink" Target="http://www.issep.be/wp-content/uploads/2-S-II-2.1v1-Dosage-des-ETM-dans-les-extraits-%C3%A0-leau-r%C3%A9gale-par-AAS-GF.pdf" TargetMode="External"/><Relationship Id="rId51" Type="http://schemas.openxmlformats.org/officeDocument/2006/relationships/hyperlink" Target="http://www.iso.org/iso/catalogue_detail.htm?csnumber=18416" TargetMode="External"/><Relationship Id="rId3" Type="http://schemas.openxmlformats.org/officeDocument/2006/relationships/hyperlink" Target="http://www.iso.org/iso/fr/home/store/catalogue_tc/catalogue_detail.htm?csnumber=24010"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tabColor rgb="FFFF0000"/>
  </sheetPr>
  <dimension ref="A2:B16"/>
  <sheetViews>
    <sheetView topLeftCell="A4" workbookViewId="0">
      <selection activeCell="A14" sqref="A14"/>
    </sheetView>
  </sheetViews>
  <sheetFormatPr baseColWidth="10" defaultRowHeight="15"/>
  <cols>
    <col min="1" max="1" width="128.140625" customWidth="1"/>
    <col min="2" max="2" width="8.5703125" style="3" customWidth="1"/>
    <col min="3" max="3" width="17.7109375" customWidth="1"/>
    <col min="4" max="4" width="25.7109375" customWidth="1"/>
  </cols>
  <sheetData>
    <row r="2" spans="1:1" ht="30">
      <c r="A2" s="348" t="s">
        <v>1543</v>
      </c>
    </row>
    <row r="4" spans="1:1" ht="60">
      <c r="A4" s="315" t="s">
        <v>1544</v>
      </c>
    </row>
    <row r="5" spans="1:1">
      <c r="A5" s="315"/>
    </row>
    <row r="6" spans="1:1" ht="26.45" customHeight="1">
      <c r="A6" s="349" t="s">
        <v>1963</v>
      </c>
    </row>
    <row r="7" spans="1:1">
      <c r="A7" s="315"/>
    </row>
    <row r="8" spans="1:1" ht="60">
      <c r="A8" s="315" t="s">
        <v>1964</v>
      </c>
    </row>
    <row r="10" spans="1:1" ht="45">
      <c r="A10" s="315" t="s">
        <v>1504</v>
      </c>
    </row>
    <row r="12" spans="1:1" ht="60">
      <c r="A12" s="315" t="s">
        <v>1965</v>
      </c>
    </row>
    <row r="14" spans="1:1" ht="45">
      <c r="A14" s="315" t="s">
        <v>1961</v>
      </c>
    </row>
    <row r="16" spans="1:1">
      <c r="A16" t="s">
        <v>1505</v>
      </c>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sheetPr>
    <tabColor theme="3"/>
  </sheetPr>
  <dimension ref="A1:AI366"/>
  <sheetViews>
    <sheetView zoomScale="50" zoomScaleNormal="50" workbookViewId="0">
      <pane ySplit="4" topLeftCell="A5" activePane="bottomLeft" state="frozen"/>
      <selection pane="bottomLeft" activeCell="H325" sqref="H325"/>
    </sheetView>
  </sheetViews>
  <sheetFormatPr baseColWidth="10" defaultColWidth="11.42578125" defaultRowHeight="12.75"/>
  <cols>
    <col min="1" max="3" width="20.7109375" style="313" customWidth="1"/>
    <col min="4" max="4" width="3.5703125" style="225" customWidth="1"/>
    <col min="5" max="18" width="20.7109375" style="313" customWidth="1"/>
    <col min="19" max="19" width="3.5703125" style="226" customWidth="1"/>
    <col min="20" max="23" width="20.7109375" style="313" customWidth="1"/>
    <col min="24" max="24" width="3.85546875" style="225" customWidth="1"/>
    <col min="25" max="32" width="20.7109375" style="314" customWidth="1"/>
    <col min="33" max="33" width="3.42578125" style="225" customWidth="1"/>
    <col min="34" max="35" width="20.7109375" style="313" customWidth="1"/>
    <col min="36" max="16384" width="11.42578125" style="29"/>
  </cols>
  <sheetData>
    <row r="1" spans="1:35" ht="68.25" customHeight="1">
      <c r="A1" s="606" t="s">
        <v>1613</v>
      </c>
      <c r="B1" s="606"/>
      <c r="C1" s="607"/>
      <c r="E1" s="608" t="s">
        <v>640</v>
      </c>
      <c r="F1" s="609"/>
      <c r="G1" s="609"/>
      <c r="H1" s="609"/>
      <c r="I1" s="609"/>
      <c r="J1" s="609"/>
      <c r="K1" s="609"/>
      <c r="L1" s="609"/>
      <c r="M1" s="609"/>
      <c r="N1" s="609"/>
      <c r="O1" s="609"/>
      <c r="P1" s="609"/>
      <c r="Q1" s="609"/>
      <c r="R1" s="610"/>
      <c r="T1" s="611" t="s">
        <v>641</v>
      </c>
      <c r="U1" s="611"/>
      <c r="V1" s="611"/>
      <c r="W1" s="598"/>
      <c r="X1" s="227"/>
      <c r="Y1" s="612" t="s">
        <v>642</v>
      </c>
      <c r="Z1" s="613"/>
      <c r="AA1" s="613"/>
      <c r="AB1" s="613"/>
      <c r="AC1" s="613"/>
      <c r="AD1" s="613"/>
      <c r="AE1" s="613"/>
      <c r="AF1" s="613"/>
      <c r="AG1" s="227"/>
      <c r="AH1" s="597" t="s">
        <v>643</v>
      </c>
      <c r="AI1" s="598"/>
    </row>
    <row r="2" spans="1:35" ht="35.25" customHeight="1">
      <c r="A2" s="599" t="s">
        <v>644</v>
      </c>
      <c r="B2" s="594" t="s">
        <v>47</v>
      </c>
      <c r="C2" s="602" t="s">
        <v>645</v>
      </c>
      <c r="D2" s="228"/>
      <c r="E2" s="604" t="s">
        <v>646</v>
      </c>
      <c r="F2" s="591" t="s">
        <v>647</v>
      </c>
      <c r="G2" s="595" t="s">
        <v>1615</v>
      </c>
      <c r="H2" s="591" t="s">
        <v>1614</v>
      </c>
      <c r="I2" s="595" t="s">
        <v>1616</v>
      </c>
      <c r="J2" s="594" t="s">
        <v>648</v>
      </c>
      <c r="K2" s="594" t="s">
        <v>1617</v>
      </c>
      <c r="L2" s="594" t="s">
        <v>649</v>
      </c>
      <c r="M2" s="594" t="s">
        <v>650</v>
      </c>
      <c r="N2" s="595" t="s">
        <v>651</v>
      </c>
      <c r="O2" s="594" t="s">
        <v>652</v>
      </c>
      <c r="P2" s="595" t="s">
        <v>653</v>
      </c>
      <c r="Q2" s="591" t="s">
        <v>654</v>
      </c>
      <c r="R2" s="591" t="s">
        <v>655</v>
      </c>
      <c r="T2" s="593" t="s">
        <v>656</v>
      </c>
      <c r="U2" s="593"/>
      <c r="V2" s="593" t="s">
        <v>657</v>
      </c>
      <c r="W2" s="593"/>
      <c r="Y2" s="591" t="s">
        <v>658</v>
      </c>
      <c r="Z2" s="591" t="s">
        <v>659</v>
      </c>
      <c r="AA2" s="591" t="s">
        <v>660</v>
      </c>
      <c r="AB2" s="591" t="s">
        <v>661</v>
      </c>
      <c r="AC2" s="591" t="s">
        <v>662</v>
      </c>
      <c r="AD2" s="591" t="s">
        <v>663</v>
      </c>
      <c r="AE2" s="591" t="s">
        <v>664</v>
      </c>
      <c r="AF2" s="591" t="s">
        <v>665</v>
      </c>
      <c r="AH2" s="592" t="s">
        <v>666</v>
      </c>
      <c r="AI2" s="592" t="s">
        <v>667</v>
      </c>
    </row>
    <row r="3" spans="1:35" ht="120" customHeight="1">
      <c r="A3" s="600"/>
      <c r="B3" s="591"/>
      <c r="C3" s="603"/>
      <c r="D3" s="228"/>
      <c r="E3" s="605"/>
      <c r="F3" s="591"/>
      <c r="G3" s="614"/>
      <c r="H3" s="591"/>
      <c r="I3" s="596"/>
      <c r="J3" s="591"/>
      <c r="K3" s="591"/>
      <c r="L3" s="591"/>
      <c r="M3" s="591"/>
      <c r="N3" s="596"/>
      <c r="O3" s="591"/>
      <c r="P3" s="596"/>
      <c r="Q3" s="591"/>
      <c r="R3" s="591"/>
      <c r="S3" s="229"/>
      <c r="T3" s="324" t="s">
        <v>668</v>
      </c>
      <c r="U3" s="324" t="s">
        <v>669</v>
      </c>
      <c r="V3" s="324" t="s">
        <v>670</v>
      </c>
      <c r="W3" s="324" t="s">
        <v>671</v>
      </c>
      <c r="X3" s="230"/>
      <c r="Y3" s="591"/>
      <c r="Z3" s="591"/>
      <c r="AA3" s="591"/>
      <c r="AB3" s="591"/>
      <c r="AC3" s="591"/>
      <c r="AD3" s="591"/>
      <c r="AE3" s="591"/>
      <c r="AF3" s="591"/>
      <c r="AG3" s="231"/>
      <c r="AH3" s="592"/>
      <c r="AI3" s="592"/>
    </row>
    <row r="4" spans="1:35" ht="31.5">
      <c r="A4" s="601"/>
      <c r="B4" s="591"/>
      <c r="C4" s="603"/>
      <c r="D4" s="228"/>
      <c r="E4" s="232" t="s">
        <v>672</v>
      </c>
      <c r="F4" s="233" t="s">
        <v>673</v>
      </c>
      <c r="G4" s="233" t="s">
        <v>1531</v>
      </c>
      <c r="H4" s="233" t="s">
        <v>674</v>
      </c>
      <c r="I4" s="233" t="s">
        <v>1531</v>
      </c>
      <c r="J4" s="233" t="s">
        <v>675</v>
      </c>
      <c r="K4" s="233" t="s">
        <v>1531</v>
      </c>
      <c r="L4" s="233" t="s">
        <v>676</v>
      </c>
      <c r="M4" s="233" t="s">
        <v>550</v>
      </c>
      <c r="N4" s="233" t="s">
        <v>550</v>
      </c>
      <c r="O4" s="233" t="s">
        <v>677</v>
      </c>
      <c r="P4" s="233" t="s">
        <v>677</v>
      </c>
      <c r="Q4" s="233" t="s">
        <v>550</v>
      </c>
      <c r="R4" s="233" t="s">
        <v>550</v>
      </c>
      <c r="S4" s="234"/>
      <c r="T4" s="233" t="s">
        <v>678</v>
      </c>
      <c r="U4" s="233" t="s">
        <v>679</v>
      </c>
      <c r="V4" s="233" t="s">
        <v>680</v>
      </c>
      <c r="W4" s="233" t="s">
        <v>679</v>
      </c>
      <c r="X4" s="228"/>
      <c r="Y4" s="233" t="s">
        <v>681</v>
      </c>
      <c r="Z4" s="233" t="s">
        <v>682</v>
      </c>
      <c r="AA4" s="233" t="s">
        <v>681</v>
      </c>
      <c r="AB4" s="233" t="s">
        <v>682</v>
      </c>
      <c r="AC4" s="233" t="s">
        <v>681</v>
      </c>
      <c r="AD4" s="233" t="s">
        <v>682</v>
      </c>
      <c r="AE4" s="233" t="s">
        <v>681</v>
      </c>
      <c r="AF4" s="233" t="s">
        <v>682</v>
      </c>
      <c r="AG4" s="236"/>
      <c r="AH4" s="235" t="s">
        <v>683</v>
      </c>
      <c r="AI4" s="235" t="s">
        <v>684</v>
      </c>
    </row>
    <row r="5" spans="1:35">
      <c r="A5" s="237">
        <v>1</v>
      </c>
      <c r="B5" s="245" t="s">
        <v>199</v>
      </c>
      <c r="C5" s="272" t="s">
        <v>1174</v>
      </c>
      <c r="D5" s="259"/>
      <c r="E5" s="275">
        <v>26.981999999999999</v>
      </c>
      <c r="F5" s="245"/>
      <c r="G5" s="243"/>
      <c r="H5" s="276"/>
      <c r="I5" s="261"/>
      <c r="J5" s="245"/>
      <c r="K5" s="243"/>
      <c r="L5" s="245"/>
      <c r="M5" s="242"/>
      <c r="N5" s="242"/>
      <c r="O5" s="242"/>
      <c r="P5" s="243">
        <v>1500</v>
      </c>
      <c r="Q5" s="238" t="s">
        <v>550</v>
      </c>
      <c r="R5" s="238" t="s">
        <v>550</v>
      </c>
      <c r="S5" s="291"/>
      <c r="T5" s="298">
        <v>1</v>
      </c>
      <c r="U5" s="298"/>
      <c r="V5" s="298"/>
      <c r="W5" s="298"/>
      <c r="X5" s="299"/>
      <c r="Y5" s="276">
        <v>4.2709737589777469E-4</v>
      </c>
      <c r="Z5" s="242"/>
      <c r="AA5" s="276">
        <v>1.6608533118763571E-3</v>
      </c>
      <c r="AB5" s="242"/>
      <c r="AC5" s="276">
        <v>1.632532976332263E-2</v>
      </c>
      <c r="AD5" s="242"/>
      <c r="AE5" s="276">
        <v>1.4777280836632447E-3</v>
      </c>
      <c r="AF5" s="245"/>
      <c r="AG5" s="240"/>
      <c r="AH5" s="248"/>
      <c r="AI5" s="248"/>
    </row>
    <row r="6" spans="1:35" ht="127.5">
      <c r="A6" s="237"/>
      <c r="B6" s="249"/>
      <c r="C6" s="272"/>
      <c r="D6" s="259"/>
      <c r="E6" s="250" t="s">
        <v>1175</v>
      </c>
      <c r="F6" s="249"/>
      <c r="G6" s="251"/>
      <c r="H6" s="251"/>
      <c r="I6" s="251"/>
      <c r="J6" s="244"/>
      <c r="K6" s="251"/>
      <c r="L6" s="249"/>
      <c r="M6" s="249"/>
      <c r="N6" s="242"/>
      <c r="O6" s="249"/>
      <c r="P6" s="243" t="s">
        <v>1507</v>
      </c>
      <c r="Q6" s="265" t="s">
        <v>550</v>
      </c>
      <c r="R6" s="265" t="s">
        <v>550</v>
      </c>
      <c r="S6" s="292"/>
      <c r="T6" s="254" t="s">
        <v>1176</v>
      </c>
      <c r="U6" s="254"/>
      <c r="V6" s="283"/>
      <c r="W6" s="283"/>
      <c r="X6" s="287"/>
      <c r="Y6" s="276" t="s">
        <v>1177</v>
      </c>
      <c r="Z6" s="255" t="s">
        <v>550</v>
      </c>
      <c r="AA6" s="276" t="s">
        <v>1178</v>
      </c>
      <c r="AB6" s="257" t="s">
        <v>550</v>
      </c>
      <c r="AC6" s="276" t="s">
        <v>1179</v>
      </c>
      <c r="AD6" s="255" t="s">
        <v>550</v>
      </c>
      <c r="AE6" s="276" t="s">
        <v>1180</v>
      </c>
      <c r="AF6" s="256"/>
      <c r="AG6" s="253"/>
      <c r="AH6" s="258"/>
      <c r="AI6" s="258"/>
    </row>
    <row r="7" spans="1:35">
      <c r="A7" s="237">
        <v>2</v>
      </c>
      <c r="B7" s="245" t="s">
        <v>201</v>
      </c>
      <c r="C7" s="272" t="s">
        <v>1181</v>
      </c>
      <c r="D7" s="259"/>
      <c r="E7" s="275">
        <v>121.76</v>
      </c>
      <c r="F7" s="245"/>
      <c r="G7" s="243"/>
      <c r="H7" s="276"/>
      <c r="I7" s="261"/>
      <c r="J7" s="245"/>
      <c r="K7" s="243"/>
      <c r="L7" s="245"/>
      <c r="M7" s="242"/>
      <c r="N7" s="242"/>
      <c r="O7" s="242"/>
      <c r="P7" s="243">
        <v>45</v>
      </c>
      <c r="Q7" s="238" t="s">
        <v>550</v>
      </c>
      <c r="R7" s="238" t="s">
        <v>550</v>
      </c>
      <c r="S7" s="291"/>
      <c r="T7" s="298">
        <v>4.0000000000000002E-4</v>
      </c>
      <c r="U7" s="298">
        <v>2.0000000000000001E-4</v>
      </c>
      <c r="V7" s="298"/>
      <c r="W7" s="298"/>
      <c r="X7" s="299"/>
      <c r="Y7" s="300">
        <v>7.2402000000000002E-4</v>
      </c>
      <c r="Z7" s="242"/>
      <c r="AA7" s="300">
        <v>1.5138599999999999E-3</v>
      </c>
      <c r="AB7" s="242"/>
      <c r="AC7" s="301">
        <v>2.4134E-3</v>
      </c>
      <c r="AD7" s="242"/>
      <c r="AE7" s="300">
        <v>2.44889E-3</v>
      </c>
      <c r="AF7" s="245"/>
      <c r="AG7" s="240"/>
      <c r="AH7" s="248"/>
      <c r="AI7" s="248"/>
    </row>
    <row r="8" spans="1:35" ht="127.5">
      <c r="A8" s="237"/>
      <c r="B8" s="249"/>
      <c r="C8" s="272"/>
      <c r="D8" s="259"/>
      <c r="E8" s="250" t="s">
        <v>1175</v>
      </c>
      <c r="F8" s="249"/>
      <c r="G8" s="251"/>
      <c r="H8" s="251"/>
      <c r="I8" s="251"/>
      <c r="J8" s="244"/>
      <c r="K8" s="251"/>
      <c r="L8" s="249"/>
      <c r="M8" s="249"/>
      <c r="N8" s="242"/>
      <c r="O8" s="249"/>
      <c r="P8" s="243" t="s">
        <v>1507</v>
      </c>
      <c r="Q8" s="265" t="s">
        <v>550</v>
      </c>
      <c r="R8" s="265" t="s">
        <v>550</v>
      </c>
      <c r="S8" s="292"/>
      <c r="T8" s="254" t="s">
        <v>1037</v>
      </c>
      <c r="U8" s="254" t="s">
        <v>1182</v>
      </c>
      <c r="V8" s="283"/>
      <c r="W8" s="283"/>
      <c r="X8" s="287"/>
      <c r="Y8" s="276" t="s">
        <v>1177</v>
      </c>
      <c r="Z8" s="255" t="s">
        <v>550</v>
      </c>
      <c r="AA8" s="276" t="s">
        <v>1178</v>
      </c>
      <c r="AB8" s="257" t="s">
        <v>550</v>
      </c>
      <c r="AC8" s="276" t="s">
        <v>1179</v>
      </c>
      <c r="AD8" s="255" t="s">
        <v>550</v>
      </c>
      <c r="AE8" s="276" t="s">
        <v>1180</v>
      </c>
      <c r="AF8" s="256"/>
      <c r="AG8" s="253"/>
      <c r="AH8" s="258"/>
      <c r="AI8" s="258"/>
    </row>
    <row r="9" spans="1:35">
      <c r="A9" s="237">
        <v>3</v>
      </c>
      <c r="B9" s="245" t="s">
        <v>203</v>
      </c>
      <c r="C9" s="272" t="s">
        <v>1183</v>
      </c>
      <c r="D9" s="259"/>
      <c r="E9" s="275">
        <v>137.327</v>
      </c>
      <c r="F9" s="245"/>
      <c r="G9" s="243"/>
      <c r="H9" s="276"/>
      <c r="I9" s="261"/>
      <c r="J9" s="245"/>
      <c r="K9" s="243"/>
      <c r="L9" s="245"/>
      <c r="M9" s="242"/>
      <c r="N9" s="242"/>
      <c r="O9" s="242"/>
      <c r="P9" s="243">
        <v>41</v>
      </c>
      <c r="Q9" s="238" t="s">
        <v>550</v>
      </c>
      <c r="R9" s="238" t="s">
        <v>550</v>
      </c>
      <c r="S9" s="291"/>
      <c r="T9" s="298">
        <v>0.2</v>
      </c>
      <c r="U9" s="298">
        <v>1E-3</v>
      </c>
      <c r="V9" s="298"/>
      <c r="W9" s="298"/>
      <c r="X9" s="299"/>
      <c r="Y9" s="300">
        <v>5.7711000000000004E-4</v>
      </c>
      <c r="Z9" s="242"/>
      <c r="AA9" s="300">
        <v>5.7683724627434575E-2</v>
      </c>
      <c r="AB9" s="242"/>
      <c r="AC9" s="300">
        <v>0.11767237043821585</v>
      </c>
      <c r="AD9" s="242"/>
      <c r="AE9" s="300">
        <v>5.1958899141226998E-2</v>
      </c>
      <c r="AF9" s="245"/>
      <c r="AG9" s="240"/>
      <c r="AH9" s="248"/>
      <c r="AI9" s="248"/>
    </row>
    <row r="10" spans="1:35" ht="127.5">
      <c r="A10" s="237"/>
      <c r="B10" s="249"/>
      <c r="C10" s="272"/>
      <c r="D10" s="259"/>
      <c r="E10" s="250" t="s">
        <v>1175</v>
      </c>
      <c r="F10" s="249"/>
      <c r="G10" s="251"/>
      <c r="H10" s="251"/>
      <c r="I10" s="251"/>
      <c r="J10" s="244"/>
      <c r="K10" s="251"/>
      <c r="L10" s="249"/>
      <c r="M10" s="249"/>
      <c r="N10" s="242"/>
      <c r="O10" s="249"/>
      <c r="P10" s="243" t="s">
        <v>1507</v>
      </c>
      <c r="Q10" s="265" t="s">
        <v>550</v>
      </c>
      <c r="R10" s="265" t="s">
        <v>550</v>
      </c>
      <c r="S10" s="292"/>
      <c r="T10" s="254" t="s">
        <v>1184</v>
      </c>
      <c r="U10" s="254" t="s">
        <v>1185</v>
      </c>
      <c r="V10" s="283"/>
      <c r="W10" s="283"/>
      <c r="X10" s="287"/>
      <c r="Y10" s="276" t="s">
        <v>1177</v>
      </c>
      <c r="Z10" s="255" t="s">
        <v>550</v>
      </c>
      <c r="AA10" s="276" t="s">
        <v>1178</v>
      </c>
      <c r="AB10" s="257" t="s">
        <v>550</v>
      </c>
      <c r="AC10" s="276" t="s">
        <v>1179</v>
      </c>
      <c r="AD10" s="255" t="s">
        <v>550</v>
      </c>
      <c r="AE10" s="276" t="s">
        <v>1180</v>
      </c>
      <c r="AF10" s="256"/>
      <c r="AG10" s="253"/>
      <c r="AH10" s="258"/>
      <c r="AI10" s="258"/>
    </row>
    <row r="11" spans="1:35">
      <c r="A11" s="237">
        <v>4</v>
      </c>
      <c r="B11" s="245" t="s">
        <v>204</v>
      </c>
      <c r="C11" s="272" t="s">
        <v>1186</v>
      </c>
      <c r="D11" s="259"/>
      <c r="E11" s="275">
        <v>9.0120000000000005</v>
      </c>
      <c r="F11" s="245"/>
      <c r="G11" s="243"/>
      <c r="H11" s="276"/>
      <c r="I11" s="261"/>
      <c r="J11" s="245"/>
      <c r="K11" s="243"/>
      <c r="L11" s="245"/>
      <c r="M11" s="242"/>
      <c r="N11" s="242"/>
      <c r="O11" s="242"/>
      <c r="P11" s="243">
        <v>790</v>
      </c>
      <c r="Q11" s="238" t="s">
        <v>550</v>
      </c>
      <c r="R11" s="238" t="s">
        <v>550</v>
      </c>
      <c r="S11" s="291"/>
      <c r="T11" s="298">
        <v>2E-3</v>
      </c>
      <c r="U11" s="298">
        <v>6.9999999999999999E-6</v>
      </c>
      <c r="V11" s="298"/>
      <c r="W11" s="298">
        <f>0.00001/2.4</f>
        <v>4.1666666666666669E-6</v>
      </c>
      <c r="X11" s="299"/>
      <c r="Y11" s="300">
        <v>1.7804E-4</v>
      </c>
      <c r="Z11" s="242"/>
      <c r="AA11" s="300">
        <v>3.7227000000000001E-4</v>
      </c>
      <c r="AB11" s="242"/>
      <c r="AC11" s="301">
        <v>5.9347999999999996E-4</v>
      </c>
      <c r="AD11" s="242"/>
      <c r="AE11" s="300">
        <v>6.0221000000000005E-4</v>
      </c>
      <c r="AF11" s="245"/>
      <c r="AG11" s="240"/>
      <c r="AH11" s="248"/>
      <c r="AI11" s="248"/>
    </row>
    <row r="12" spans="1:35" ht="127.5">
      <c r="A12" s="237"/>
      <c r="B12" s="249"/>
      <c r="C12" s="272"/>
      <c r="D12" s="259"/>
      <c r="E12" s="250" t="s">
        <v>1175</v>
      </c>
      <c r="F12" s="249"/>
      <c r="G12" s="251"/>
      <c r="H12" s="251"/>
      <c r="I12" s="251"/>
      <c r="J12" s="244"/>
      <c r="K12" s="251"/>
      <c r="L12" s="249"/>
      <c r="M12" s="249"/>
      <c r="N12" s="242"/>
      <c r="O12" s="249"/>
      <c r="P12" s="243" t="s">
        <v>1507</v>
      </c>
      <c r="Q12" s="265" t="s">
        <v>550</v>
      </c>
      <c r="R12" s="265" t="s">
        <v>550</v>
      </c>
      <c r="S12" s="292"/>
      <c r="T12" s="254" t="s">
        <v>1187</v>
      </c>
      <c r="U12" s="254" t="s">
        <v>1188</v>
      </c>
      <c r="V12" s="283"/>
      <c r="W12" s="283" t="s">
        <v>1189</v>
      </c>
      <c r="X12" s="287"/>
      <c r="Y12" s="276" t="s">
        <v>1177</v>
      </c>
      <c r="Z12" s="255" t="s">
        <v>550</v>
      </c>
      <c r="AA12" s="276" t="s">
        <v>1178</v>
      </c>
      <c r="AB12" s="257" t="s">
        <v>550</v>
      </c>
      <c r="AC12" s="276" t="s">
        <v>1179</v>
      </c>
      <c r="AD12" s="255" t="s">
        <v>550</v>
      </c>
      <c r="AE12" s="276" t="s">
        <v>1180</v>
      </c>
      <c r="AF12" s="256"/>
      <c r="AG12" s="253"/>
      <c r="AH12" s="258"/>
      <c r="AI12" s="258"/>
    </row>
    <row r="13" spans="1:35">
      <c r="A13" s="237">
        <v>5</v>
      </c>
      <c r="B13" s="245" t="s">
        <v>205</v>
      </c>
      <c r="C13" s="272" t="s">
        <v>1190</v>
      </c>
      <c r="D13" s="259"/>
      <c r="E13" s="275">
        <v>58.933</v>
      </c>
      <c r="F13" s="245"/>
      <c r="G13" s="243"/>
      <c r="H13" s="276"/>
      <c r="I13" s="261"/>
      <c r="J13" s="245"/>
      <c r="K13" s="243"/>
      <c r="L13" s="245"/>
      <c r="M13" s="242"/>
      <c r="N13" s="242"/>
      <c r="O13" s="242"/>
      <c r="P13" s="243">
        <v>45</v>
      </c>
      <c r="Q13" s="238" t="s">
        <v>550</v>
      </c>
      <c r="R13" s="238" t="s">
        <v>550</v>
      </c>
      <c r="S13" s="291"/>
      <c r="T13" s="298">
        <v>1.4E-3</v>
      </c>
      <c r="U13" s="298">
        <v>1E-4</v>
      </c>
      <c r="V13" s="298"/>
      <c r="W13" s="298"/>
      <c r="X13" s="299"/>
      <c r="Y13" s="300">
        <v>2.5285999999999999E-4</v>
      </c>
      <c r="Z13" s="242"/>
      <c r="AA13" s="300">
        <v>5.2871000000000005E-4</v>
      </c>
      <c r="AB13" s="242"/>
      <c r="AC13" s="301">
        <v>5.3114754880924403E-2</v>
      </c>
      <c r="AD13" s="242"/>
      <c r="AE13" s="300">
        <v>8.5526000000000005E-4</v>
      </c>
      <c r="AF13" s="245"/>
      <c r="AG13" s="240"/>
      <c r="AH13" s="248"/>
      <c r="AI13" s="248"/>
    </row>
    <row r="14" spans="1:35" ht="127.5">
      <c r="A14" s="237"/>
      <c r="B14" s="249"/>
      <c r="C14" s="272"/>
      <c r="D14" s="259"/>
      <c r="E14" s="250" t="s">
        <v>1175</v>
      </c>
      <c r="F14" s="249"/>
      <c r="G14" s="251"/>
      <c r="H14" s="251"/>
      <c r="I14" s="251"/>
      <c r="J14" s="244"/>
      <c r="K14" s="251"/>
      <c r="L14" s="249"/>
      <c r="M14" s="249"/>
      <c r="N14" s="242"/>
      <c r="O14" s="249"/>
      <c r="P14" s="243" t="s">
        <v>1507</v>
      </c>
      <c r="Q14" s="265" t="s">
        <v>550</v>
      </c>
      <c r="R14" s="265" t="s">
        <v>550</v>
      </c>
      <c r="S14" s="292"/>
      <c r="T14" s="254" t="s">
        <v>1185</v>
      </c>
      <c r="U14" s="254" t="s">
        <v>1191</v>
      </c>
      <c r="V14" s="283"/>
      <c r="W14" s="283"/>
      <c r="X14" s="287"/>
      <c r="Y14" s="276" t="s">
        <v>1177</v>
      </c>
      <c r="Z14" s="255" t="s">
        <v>550</v>
      </c>
      <c r="AA14" s="276" t="s">
        <v>1178</v>
      </c>
      <c r="AB14" s="257" t="s">
        <v>550</v>
      </c>
      <c r="AC14" s="276" t="s">
        <v>1179</v>
      </c>
      <c r="AD14" s="255" t="s">
        <v>550</v>
      </c>
      <c r="AE14" s="276" t="s">
        <v>1180</v>
      </c>
      <c r="AF14" s="256"/>
      <c r="AG14" s="253"/>
      <c r="AH14" s="258"/>
      <c r="AI14" s="258"/>
    </row>
    <row r="15" spans="1:35">
      <c r="A15" s="237">
        <v>6</v>
      </c>
      <c r="B15" s="245" t="s">
        <v>206</v>
      </c>
      <c r="C15" s="272" t="s">
        <v>1192</v>
      </c>
      <c r="D15" s="259"/>
      <c r="E15" s="275">
        <v>118.71</v>
      </c>
      <c r="F15" s="245"/>
      <c r="G15" s="243"/>
      <c r="H15" s="276"/>
      <c r="I15" s="261"/>
      <c r="J15" s="245"/>
      <c r="K15" s="243"/>
      <c r="L15" s="245"/>
      <c r="M15" s="242"/>
      <c r="N15" s="242"/>
      <c r="O15" s="242"/>
      <c r="P15" s="243">
        <v>250</v>
      </c>
      <c r="Q15" s="238" t="s">
        <v>550</v>
      </c>
      <c r="R15" s="238" t="s">
        <v>550</v>
      </c>
      <c r="S15" s="291"/>
      <c r="T15" s="298">
        <v>0.2</v>
      </c>
      <c r="U15" s="298"/>
      <c r="V15" s="298"/>
      <c r="W15" s="298"/>
      <c r="X15" s="299"/>
      <c r="Y15" s="300">
        <v>6.3802999999999999E-5</v>
      </c>
      <c r="Z15" s="242"/>
      <c r="AA15" s="300">
        <v>1.3341000000000001E-4</v>
      </c>
      <c r="AB15" s="242"/>
      <c r="AC15" s="301">
        <v>2.1268E-4</v>
      </c>
      <c r="AD15" s="242"/>
      <c r="AE15" s="300">
        <v>2.1579999999999999E-4</v>
      </c>
      <c r="AF15" s="245"/>
      <c r="AG15" s="240"/>
      <c r="AH15" s="248"/>
      <c r="AI15" s="248"/>
    </row>
    <row r="16" spans="1:35" ht="127.5">
      <c r="A16" s="237"/>
      <c r="B16" s="249"/>
      <c r="C16" s="272"/>
      <c r="D16" s="259"/>
      <c r="E16" s="250" t="s">
        <v>1175</v>
      </c>
      <c r="F16" s="249"/>
      <c r="G16" s="251"/>
      <c r="H16" s="251"/>
      <c r="I16" s="251"/>
      <c r="J16" s="244"/>
      <c r="K16" s="251"/>
      <c r="L16" s="249"/>
      <c r="M16" s="249"/>
      <c r="N16" s="242"/>
      <c r="O16" s="249"/>
      <c r="P16" s="243" t="s">
        <v>1507</v>
      </c>
      <c r="Q16" s="265" t="s">
        <v>550</v>
      </c>
      <c r="R16" s="265" t="s">
        <v>550</v>
      </c>
      <c r="S16" s="292"/>
      <c r="T16" s="254" t="s">
        <v>1193</v>
      </c>
      <c r="U16" s="254"/>
      <c r="V16" s="283"/>
      <c r="W16" s="283"/>
      <c r="X16" s="287"/>
      <c r="Y16" s="276" t="s">
        <v>1177</v>
      </c>
      <c r="Z16" s="255" t="s">
        <v>550</v>
      </c>
      <c r="AA16" s="276" t="s">
        <v>1178</v>
      </c>
      <c r="AB16" s="257" t="s">
        <v>550</v>
      </c>
      <c r="AC16" s="276" t="s">
        <v>1179</v>
      </c>
      <c r="AD16" s="255" t="s">
        <v>550</v>
      </c>
      <c r="AE16" s="276" t="s">
        <v>1180</v>
      </c>
      <c r="AF16" s="256"/>
      <c r="AG16" s="253"/>
      <c r="AH16" s="258"/>
      <c r="AI16" s="258"/>
    </row>
    <row r="17" spans="1:35">
      <c r="A17" s="237">
        <v>7</v>
      </c>
      <c r="B17" s="245" t="s">
        <v>207</v>
      </c>
      <c r="C17" s="272" t="s">
        <v>1194</v>
      </c>
      <c r="D17" s="259"/>
      <c r="E17" s="275">
        <v>54.938000000000002</v>
      </c>
      <c r="F17" s="245"/>
      <c r="G17" s="243"/>
      <c r="H17" s="276"/>
      <c r="I17" s="261"/>
      <c r="J17" s="245"/>
      <c r="K17" s="243"/>
      <c r="L17" s="245"/>
      <c r="M17" s="242"/>
      <c r="N17" s="242"/>
      <c r="O17" s="242"/>
      <c r="P17" s="243">
        <v>65</v>
      </c>
      <c r="Q17" s="238" t="s">
        <v>550</v>
      </c>
      <c r="R17" s="238" t="s">
        <v>550</v>
      </c>
      <c r="S17" s="291"/>
      <c r="T17" s="298">
        <v>0.06</v>
      </c>
      <c r="U17" s="298">
        <v>1.4999999999999999E-4</v>
      </c>
      <c r="V17" s="298"/>
      <c r="W17" s="298"/>
      <c r="X17" s="299"/>
      <c r="Y17" s="300">
        <v>2.7876899999999998E-3</v>
      </c>
      <c r="Z17" s="242"/>
      <c r="AA17" s="300">
        <v>1.096778E-2</v>
      </c>
      <c r="AB17" s="242"/>
      <c r="AC17" s="300">
        <v>7.2302498027272261E-2</v>
      </c>
      <c r="AD17" s="242"/>
      <c r="AE17" s="300">
        <v>2.3999494617058928E-2</v>
      </c>
      <c r="AF17" s="245"/>
      <c r="AG17" s="240"/>
      <c r="AH17" s="248"/>
      <c r="AI17" s="248"/>
    </row>
    <row r="18" spans="1:35" ht="127.5">
      <c r="A18" s="237"/>
      <c r="B18" s="249"/>
      <c r="C18" s="272"/>
      <c r="D18" s="259"/>
      <c r="E18" s="250" t="s">
        <v>1175</v>
      </c>
      <c r="F18" s="249"/>
      <c r="G18" s="251"/>
      <c r="H18" s="251"/>
      <c r="I18" s="251"/>
      <c r="J18" s="244"/>
      <c r="K18" s="251"/>
      <c r="L18" s="249"/>
      <c r="M18" s="249"/>
      <c r="N18" s="242"/>
      <c r="O18" s="249"/>
      <c r="P18" s="243" t="s">
        <v>1507</v>
      </c>
      <c r="Q18" s="265" t="s">
        <v>550</v>
      </c>
      <c r="R18" s="265" t="s">
        <v>550</v>
      </c>
      <c r="S18" s="292"/>
      <c r="T18" s="254" t="s">
        <v>1195</v>
      </c>
      <c r="U18" s="254" t="s">
        <v>1196</v>
      </c>
      <c r="V18" s="283"/>
      <c r="W18" s="283"/>
      <c r="X18" s="287"/>
      <c r="Y18" s="276" t="s">
        <v>1177</v>
      </c>
      <c r="Z18" s="255" t="s">
        <v>550</v>
      </c>
      <c r="AA18" s="276" t="s">
        <v>1178</v>
      </c>
      <c r="AB18" s="257" t="s">
        <v>550</v>
      </c>
      <c r="AC18" s="276" t="s">
        <v>1179</v>
      </c>
      <c r="AD18" s="255" t="s">
        <v>550</v>
      </c>
      <c r="AE18" s="276" t="s">
        <v>1180</v>
      </c>
      <c r="AF18" s="256"/>
      <c r="AG18" s="253"/>
      <c r="AH18" s="258"/>
      <c r="AI18" s="258"/>
    </row>
    <row r="19" spans="1:35">
      <c r="A19" s="237">
        <v>8</v>
      </c>
      <c r="B19" s="245" t="s">
        <v>208</v>
      </c>
      <c r="C19" s="272" t="s">
        <v>1197</v>
      </c>
      <c r="D19" s="259"/>
      <c r="E19" s="275">
        <v>95.94</v>
      </c>
      <c r="F19" s="245"/>
      <c r="G19" s="243"/>
      <c r="H19" s="276"/>
      <c r="I19" s="261"/>
      <c r="J19" s="245"/>
      <c r="K19" s="243"/>
      <c r="L19" s="245"/>
      <c r="M19" s="242"/>
      <c r="N19" s="242"/>
      <c r="O19" s="242"/>
      <c r="P19" s="243">
        <v>20</v>
      </c>
      <c r="Q19" s="238" t="s">
        <v>550</v>
      </c>
      <c r="R19" s="238" t="s">
        <v>550</v>
      </c>
      <c r="S19" s="291"/>
      <c r="T19" s="298">
        <v>5.0000000000000001E-3</v>
      </c>
      <c r="U19" s="298">
        <v>1.2E-2</v>
      </c>
      <c r="V19" s="298"/>
      <c r="W19" s="298"/>
      <c r="X19" s="299"/>
      <c r="Y19" s="300">
        <v>0.57240400872532982</v>
      </c>
      <c r="Z19" s="242"/>
      <c r="AA19" s="300">
        <v>0.31236974749441393</v>
      </c>
      <c r="AB19" s="242"/>
      <c r="AC19" s="300">
        <v>1.3049102641765378</v>
      </c>
      <c r="AD19" s="242"/>
      <c r="AE19" s="300">
        <v>1.9602384298455742</v>
      </c>
      <c r="AF19" s="245"/>
      <c r="AG19" s="240"/>
      <c r="AH19" s="248"/>
      <c r="AI19" s="248"/>
    </row>
    <row r="20" spans="1:35" ht="127.5">
      <c r="A20" s="237"/>
      <c r="B20" s="249"/>
      <c r="C20" s="272"/>
      <c r="D20" s="259"/>
      <c r="E20" s="250" t="s">
        <v>1175</v>
      </c>
      <c r="F20" s="249"/>
      <c r="G20" s="251"/>
      <c r="H20" s="251"/>
      <c r="I20" s="251"/>
      <c r="J20" s="244"/>
      <c r="K20" s="251"/>
      <c r="L20" s="249"/>
      <c r="M20" s="249"/>
      <c r="N20" s="242"/>
      <c r="O20" s="249"/>
      <c r="P20" s="243" t="s">
        <v>1507</v>
      </c>
      <c r="Q20" s="265" t="s">
        <v>550</v>
      </c>
      <c r="R20" s="265" t="s">
        <v>550</v>
      </c>
      <c r="S20" s="292"/>
      <c r="T20" s="254" t="s">
        <v>1198</v>
      </c>
      <c r="U20" s="254" t="s">
        <v>1185</v>
      </c>
      <c r="V20" s="283"/>
      <c r="W20" s="283"/>
      <c r="X20" s="287"/>
      <c r="Y20" s="276" t="s">
        <v>1177</v>
      </c>
      <c r="Z20" s="255" t="s">
        <v>550</v>
      </c>
      <c r="AA20" s="276" t="s">
        <v>1178</v>
      </c>
      <c r="AB20" s="257" t="s">
        <v>550</v>
      </c>
      <c r="AC20" s="276" t="s">
        <v>1179</v>
      </c>
      <c r="AD20" s="255" t="s">
        <v>550</v>
      </c>
      <c r="AE20" s="276" t="s">
        <v>1180</v>
      </c>
      <c r="AF20" s="256"/>
      <c r="AG20" s="253"/>
      <c r="AH20" s="258"/>
      <c r="AI20" s="258"/>
    </row>
    <row r="21" spans="1:35">
      <c r="A21" s="237">
        <v>9</v>
      </c>
      <c r="B21" s="245" t="s">
        <v>209</v>
      </c>
      <c r="C21" s="272" t="s">
        <v>1199</v>
      </c>
      <c r="D21" s="259"/>
      <c r="E21" s="275">
        <v>78.959999999999994</v>
      </c>
      <c r="F21" s="245"/>
      <c r="G21" s="243"/>
      <c r="H21" s="276"/>
      <c r="I21" s="261"/>
      <c r="J21" s="245"/>
      <c r="K21" s="243"/>
      <c r="L21" s="245"/>
      <c r="M21" s="242"/>
      <c r="N21" s="242"/>
      <c r="O21" s="242"/>
      <c r="P21" s="243">
        <v>5</v>
      </c>
      <c r="Q21" s="238" t="s">
        <v>550</v>
      </c>
      <c r="R21" s="238" t="s">
        <v>550</v>
      </c>
      <c r="S21" s="291"/>
      <c r="T21" s="298">
        <v>5.0000000000000001E-3</v>
      </c>
      <c r="U21" s="298"/>
      <c r="V21" s="298"/>
      <c r="W21" s="298"/>
      <c r="X21" s="299"/>
      <c r="Y21" s="300">
        <v>0.12565025470877608</v>
      </c>
      <c r="Z21" s="242"/>
      <c r="AA21" s="300">
        <v>3.7727099999999999E-3</v>
      </c>
      <c r="AB21" s="242"/>
      <c r="AC21" s="300">
        <v>0.46042609488448499</v>
      </c>
      <c r="AD21" s="242"/>
      <c r="AE21" s="300">
        <v>0.22518047344431019</v>
      </c>
      <c r="AF21" s="245"/>
      <c r="AG21" s="240"/>
      <c r="AH21" s="248"/>
      <c r="AI21" s="248"/>
    </row>
    <row r="22" spans="1:35" ht="127.5">
      <c r="A22" s="237"/>
      <c r="B22" s="249"/>
      <c r="C22" s="272"/>
      <c r="D22" s="259"/>
      <c r="E22" s="250" t="s">
        <v>1175</v>
      </c>
      <c r="F22" s="249"/>
      <c r="G22" s="251"/>
      <c r="H22" s="251"/>
      <c r="I22" s="251"/>
      <c r="J22" s="244"/>
      <c r="K22" s="251"/>
      <c r="L22" s="249"/>
      <c r="M22" s="249"/>
      <c r="N22" s="242"/>
      <c r="O22" s="249"/>
      <c r="P22" s="243" t="s">
        <v>1507</v>
      </c>
      <c r="Q22" s="265" t="s">
        <v>550</v>
      </c>
      <c r="R22" s="265" t="s">
        <v>550</v>
      </c>
      <c r="S22" s="292"/>
      <c r="T22" s="254" t="s">
        <v>1037</v>
      </c>
      <c r="U22" s="254"/>
      <c r="V22" s="283"/>
      <c r="W22" s="283"/>
      <c r="X22" s="287"/>
      <c r="Y22" s="276" t="s">
        <v>1177</v>
      </c>
      <c r="Z22" s="255" t="s">
        <v>550</v>
      </c>
      <c r="AA22" s="276" t="s">
        <v>1178</v>
      </c>
      <c r="AB22" s="257" t="s">
        <v>550</v>
      </c>
      <c r="AC22" s="276" t="s">
        <v>1179</v>
      </c>
      <c r="AD22" s="255" t="s">
        <v>550</v>
      </c>
      <c r="AE22" s="276" t="s">
        <v>1180</v>
      </c>
      <c r="AF22" s="256"/>
      <c r="AG22" s="253"/>
      <c r="AH22" s="258"/>
      <c r="AI22" s="258"/>
    </row>
    <row r="23" spans="1:35">
      <c r="A23" s="237">
        <v>10</v>
      </c>
      <c r="B23" s="245" t="s">
        <v>211</v>
      </c>
      <c r="C23" s="272" t="s">
        <v>1200</v>
      </c>
      <c r="D23" s="259"/>
      <c r="E23" s="275">
        <v>47.866999999999997</v>
      </c>
      <c r="F23" s="245"/>
      <c r="G23" s="243"/>
      <c r="H23" s="276"/>
      <c r="I23" s="261"/>
      <c r="J23" s="245"/>
      <c r="K23" s="243"/>
      <c r="L23" s="245"/>
      <c r="M23" s="242"/>
      <c r="N23" s="242"/>
      <c r="O23" s="242"/>
      <c r="P23" s="243" t="s">
        <v>515</v>
      </c>
      <c r="Q23" s="238" t="s">
        <v>550</v>
      </c>
      <c r="R23" s="238" t="s">
        <v>550</v>
      </c>
      <c r="S23" s="291"/>
      <c r="T23" s="298">
        <v>3</v>
      </c>
      <c r="U23" s="298"/>
      <c r="V23" s="298"/>
      <c r="W23" s="298"/>
      <c r="X23" s="299"/>
      <c r="Y23" s="276"/>
      <c r="Z23" s="242"/>
      <c r="AA23" s="276"/>
      <c r="AB23" s="242"/>
      <c r="AC23" s="242"/>
      <c r="AD23" s="242"/>
      <c r="AE23" s="276"/>
      <c r="AF23" s="245"/>
      <c r="AG23" s="240"/>
      <c r="AH23" s="248"/>
      <c r="AI23" s="248"/>
    </row>
    <row r="24" spans="1:35" ht="63.75">
      <c r="A24" s="237"/>
      <c r="B24" s="249"/>
      <c r="C24" s="272"/>
      <c r="D24" s="259"/>
      <c r="E24" s="250" t="s">
        <v>1175</v>
      </c>
      <c r="F24" s="249"/>
      <c r="G24" s="251"/>
      <c r="H24" s="251"/>
      <c r="I24" s="251"/>
      <c r="J24" s="244"/>
      <c r="K24" s="251"/>
      <c r="L24" s="249"/>
      <c r="M24" s="249"/>
      <c r="N24" s="242"/>
      <c r="O24" s="249"/>
      <c r="P24" s="243"/>
      <c r="Q24" s="265" t="s">
        <v>550</v>
      </c>
      <c r="R24" s="265" t="s">
        <v>550</v>
      </c>
      <c r="S24" s="292"/>
      <c r="T24" s="254" t="s">
        <v>1201</v>
      </c>
      <c r="U24" s="254"/>
      <c r="V24" s="283"/>
      <c r="W24" s="283"/>
      <c r="X24" s="287"/>
      <c r="Y24" s="276"/>
      <c r="Z24" s="255"/>
      <c r="AA24" s="276"/>
      <c r="AB24" s="257"/>
      <c r="AC24" s="276"/>
      <c r="AD24" s="255"/>
      <c r="AE24" s="276"/>
      <c r="AF24" s="256"/>
      <c r="AG24" s="253"/>
      <c r="AH24" s="258"/>
      <c r="AI24" s="258"/>
    </row>
    <row r="25" spans="1:35">
      <c r="A25" s="237">
        <v>11</v>
      </c>
      <c r="B25" s="245" t="s">
        <v>212</v>
      </c>
      <c r="C25" s="272" t="s">
        <v>1202</v>
      </c>
      <c r="D25" s="259"/>
      <c r="E25" s="275">
        <v>50.942</v>
      </c>
      <c r="F25" s="245"/>
      <c r="G25" s="243"/>
      <c r="H25" s="276"/>
      <c r="I25" s="261"/>
      <c r="J25" s="245"/>
      <c r="K25" s="243"/>
      <c r="L25" s="245"/>
      <c r="M25" s="242"/>
      <c r="N25" s="242"/>
      <c r="O25" s="242"/>
      <c r="P25" s="243">
        <v>1000</v>
      </c>
      <c r="Q25" s="238" t="s">
        <v>550</v>
      </c>
      <c r="R25" s="238" t="s">
        <v>550</v>
      </c>
      <c r="S25" s="291"/>
      <c r="T25" s="298">
        <v>8.9999999999999993E-3</v>
      </c>
      <c r="U25" s="298">
        <v>1E-3</v>
      </c>
      <c r="V25" s="298"/>
      <c r="W25" s="298"/>
      <c r="X25" s="299"/>
      <c r="Y25" s="276">
        <v>0.1</v>
      </c>
      <c r="Z25" s="242"/>
      <c r="AA25" s="276">
        <v>0.1</v>
      </c>
      <c r="AB25" s="242"/>
      <c r="AC25" s="276">
        <v>0.1</v>
      </c>
      <c r="AD25" s="242"/>
      <c r="AE25" s="276">
        <v>0.1</v>
      </c>
      <c r="AF25" s="245"/>
      <c r="AG25" s="240"/>
      <c r="AH25" s="248"/>
      <c r="AI25" s="248"/>
    </row>
    <row r="26" spans="1:35" ht="63.75">
      <c r="A26" s="237"/>
      <c r="B26" s="249"/>
      <c r="C26" s="272"/>
      <c r="D26" s="259"/>
      <c r="E26" s="250" t="s">
        <v>1175</v>
      </c>
      <c r="F26" s="249"/>
      <c r="G26" s="251"/>
      <c r="H26" s="251"/>
      <c r="I26" s="251"/>
      <c r="J26" s="244"/>
      <c r="K26" s="251"/>
      <c r="L26" s="249"/>
      <c r="M26" s="249"/>
      <c r="N26" s="242"/>
      <c r="O26" s="249"/>
      <c r="P26" s="243" t="s">
        <v>1507</v>
      </c>
      <c r="Q26" s="265" t="s">
        <v>550</v>
      </c>
      <c r="R26" s="265" t="s">
        <v>550</v>
      </c>
      <c r="S26" s="292"/>
      <c r="T26" s="254" t="s">
        <v>1203</v>
      </c>
      <c r="U26" s="254" t="s">
        <v>1193</v>
      </c>
      <c r="V26" s="283"/>
      <c r="W26" s="283"/>
      <c r="X26" s="287"/>
      <c r="Y26" s="276" t="s">
        <v>1204</v>
      </c>
      <c r="Z26" s="255"/>
      <c r="AA26" s="276" t="s">
        <v>1204</v>
      </c>
      <c r="AB26" s="257"/>
      <c r="AC26" s="276" t="s">
        <v>1204</v>
      </c>
      <c r="AD26" s="255"/>
      <c r="AE26" s="276" t="s">
        <v>1204</v>
      </c>
      <c r="AF26" s="256"/>
      <c r="AG26" s="253"/>
      <c r="AH26" s="258"/>
      <c r="AI26" s="258"/>
    </row>
    <row r="27" spans="1:35">
      <c r="A27" s="310">
        <v>12</v>
      </c>
      <c r="B27" s="310" t="s">
        <v>346</v>
      </c>
      <c r="C27" s="310" t="s">
        <v>1497</v>
      </c>
      <c r="E27" s="531">
        <v>98.97</v>
      </c>
      <c r="F27" s="525">
        <v>5500</v>
      </c>
      <c r="G27" s="531">
        <v>20</v>
      </c>
      <c r="H27" s="525">
        <v>9536.7412597558505</v>
      </c>
      <c r="I27" s="531">
        <v>10</v>
      </c>
      <c r="J27" s="525">
        <v>1.95E-2</v>
      </c>
      <c r="K27" s="531">
        <v>10</v>
      </c>
      <c r="L27" s="531" t="s">
        <v>550</v>
      </c>
      <c r="M27" s="531">
        <v>1.79</v>
      </c>
      <c r="N27" s="476">
        <f t="shared" ref="N27:N37" si="0">10^M27</f>
        <v>61.659500186148257</v>
      </c>
      <c r="O27" s="530">
        <f>GEOMEAN(1.6,1.66)</f>
        <v>1.6297239029970689</v>
      </c>
      <c r="P27" s="476">
        <f>10^O27</f>
        <v>42.630841267015811</v>
      </c>
      <c r="Q27" s="531"/>
      <c r="R27" s="531"/>
      <c r="T27" s="531"/>
      <c r="U27" s="531"/>
      <c r="V27" s="526">
        <f>0.00001/0.0057</f>
        <v>1.7543859649122807E-3</v>
      </c>
      <c r="W27" s="521">
        <f>0.00001/0.0016</f>
        <v>6.2500000000000003E-3</v>
      </c>
      <c r="Y27" s="312"/>
      <c r="Z27" s="312"/>
      <c r="AA27" s="312"/>
      <c r="AB27" s="312"/>
      <c r="AC27" s="312"/>
      <c r="AD27" s="312"/>
      <c r="AE27" s="312"/>
      <c r="AF27" s="312"/>
      <c r="AH27" s="310"/>
      <c r="AI27" s="310"/>
    </row>
    <row r="28" spans="1:35" ht="78.75">
      <c r="A28" s="310"/>
      <c r="B28" s="310"/>
      <c r="C28" s="310"/>
      <c r="E28" s="531" t="s">
        <v>550</v>
      </c>
      <c r="F28" s="529" t="s">
        <v>1536</v>
      </c>
      <c r="G28" s="531"/>
      <c r="H28" s="528" t="s">
        <v>817</v>
      </c>
      <c r="I28" s="531"/>
      <c r="J28" s="487" t="s">
        <v>686</v>
      </c>
      <c r="K28" s="531"/>
      <c r="L28" s="531"/>
      <c r="M28" s="527" t="s">
        <v>715</v>
      </c>
      <c r="N28" s="531"/>
      <c r="O28" s="529" t="s">
        <v>1537</v>
      </c>
      <c r="P28" s="531"/>
      <c r="Q28" s="531"/>
      <c r="R28" s="531"/>
      <c r="T28" s="531"/>
      <c r="U28" s="531"/>
      <c r="V28" s="529" t="s">
        <v>1538</v>
      </c>
      <c r="W28" s="529" t="s">
        <v>1539</v>
      </c>
      <c r="Y28" s="312"/>
      <c r="Z28" s="312"/>
      <c r="AA28" s="312"/>
      <c r="AB28" s="312"/>
      <c r="AC28" s="312"/>
      <c r="AD28" s="312"/>
      <c r="AE28" s="312"/>
      <c r="AF28" s="312"/>
      <c r="AH28" s="310"/>
      <c r="AI28" s="310"/>
    </row>
    <row r="29" spans="1:35" ht="15">
      <c r="A29" s="237" t="s">
        <v>338</v>
      </c>
      <c r="B29" s="245" t="s">
        <v>123</v>
      </c>
      <c r="C29" t="s">
        <v>1946</v>
      </c>
      <c r="D29" s="259"/>
      <c r="E29" s="275">
        <v>257.54300000000001</v>
      </c>
      <c r="F29" s="245">
        <v>0.14125157978977801</v>
      </c>
      <c r="G29" s="243">
        <v>10</v>
      </c>
      <c r="H29" s="276">
        <v>5.2298616413868201E-3</v>
      </c>
      <c r="I29" s="243">
        <v>10</v>
      </c>
      <c r="J29" s="245">
        <v>9.5355695029999996</v>
      </c>
      <c r="K29" s="243">
        <v>10</v>
      </c>
      <c r="L29" s="245">
        <v>1.9999999999999999E-7</v>
      </c>
      <c r="M29" s="242">
        <v>5.66</v>
      </c>
      <c r="N29" s="242">
        <f t="shared" si="0"/>
        <v>457088.18961487547</v>
      </c>
      <c r="O29" s="242">
        <v>4.62</v>
      </c>
      <c r="P29" s="242">
        <f t="shared" ref="P29:P37" si="1">10^O29</f>
        <v>41686.938347033625</v>
      </c>
      <c r="Q29" s="238" t="s">
        <v>550</v>
      </c>
      <c r="R29" s="238" t="s">
        <v>550</v>
      </c>
      <c r="S29" s="291"/>
      <c r="T29" s="245">
        <v>1.0000000000000001E-5</v>
      </c>
      <c r="U29" s="245">
        <v>5.0000000000000001E-4</v>
      </c>
      <c r="V29" s="245">
        <f>0.00001/2</f>
        <v>5.0000000000000004E-6</v>
      </c>
      <c r="W29" s="245">
        <f>0.00001/0.57</f>
        <v>1.7543859649122809E-5</v>
      </c>
      <c r="X29" s="247"/>
      <c r="Y29" s="235">
        <v>0.28999999999999998</v>
      </c>
      <c r="Z29" s="242"/>
      <c r="AA29" s="235">
        <v>1.5</v>
      </c>
      <c r="AB29" s="242"/>
      <c r="AC29" s="235">
        <v>6</v>
      </c>
      <c r="AD29" s="242"/>
      <c r="AE29" s="235">
        <v>0.64</v>
      </c>
      <c r="AF29" s="245"/>
      <c r="AG29" s="240"/>
      <c r="AH29" s="248"/>
      <c r="AI29" s="248"/>
    </row>
    <row r="30" spans="1:35" ht="102">
      <c r="A30" s="237"/>
      <c r="B30" s="249"/>
      <c r="C30" s="303"/>
      <c r="D30" s="304"/>
      <c r="E30" s="250" t="s">
        <v>1210</v>
      </c>
      <c r="F30" s="249" t="s">
        <v>1210</v>
      </c>
      <c r="G30" s="251"/>
      <c r="H30" s="251" t="s">
        <v>1210</v>
      </c>
      <c r="I30" s="251"/>
      <c r="J30" s="244" t="s">
        <v>686</v>
      </c>
      <c r="K30" s="251"/>
      <c r="L30" s="249" t="s">
        <v>1209</v>
      </c>
      <c r="M30" s="249" t="s">
        <v>1210</v>
      </c>
      <c r="N30" s="242"/>
      <c r="O30" s="249" t="s">
        <v>1211</v>
      </c>
      <c r="P30" s="242"/>
      <c r="Q30" s="265" t="s">
        <v>550</v>
      </c>
      <c r="R30" s="265" t="s">
        <v>550</v>
      </c>
      <c r="S30" s="292"/>
      <c r="T30" s="254" t="s">
        <v>1212</v>
      </c>
      <c r="U30" s="256" t="s">
        <v>1185</v>
      </c>
      <c r="V30" s="249" t="s">
        <v>1213</v>
      </c>
      <c r="W30" s="249" t="s">
        <v>1214</v>
      </c>
      <c r="X30" s="253"/>
      <c r="Y30" s="256" t="s">
        <v>1215</v>
      </c>
      <c r="Z30" s="255"/>
      <c r="AA30" s="256" t="s">
        <v>1215</v>
      </c>
      <c r="AB30" s="257"/>
      <c r="AC30" s="256" t="s">
        <v>1215</v>
      </c>
      <c r="AD30" s="255"/>
      <c r="AE30" s="256" t="s">
        <v>1215</v>
      </c>
      <c r="AF30" s="256"/>
      <c r="AG30" s="305"/>
      <c r="AH30" s="258"/>
      <c r="AI30" s="258"/>
    </row>
    <row r="31" spans="1:35" ht="15">
      <c r="A31" s="237" t="s">
        <v>339</v>
      </c>
      <c r="B31" s="245" t="s">
        <v>126</v>
      </c>
      <c r="C31" t="s">
        <v>1947</v>
      </c>
      <c r="D31" s="259"/>
      <c r="E31" s="275">
        <v>291.988</v>
      </c>
      <c r="F31" s="245">
        <v>8.707695504449782E-2</v>
      </c>
      <c r="G31" s="243">
        <v>10</v>
      </c>
      <c r="H31" s="276">
        <v>2.2638203342854571E-3</v>
      </c>
      <c r="I31" s="243">
        <v>10</v>
      </c>
      <c r="J31" s="245">
        <v>4.0309956180000004</v>
      </c>
      <c r="K31" s="243">
        <v>10</v>
      </c>
      <c r="L31" s="245">
        <v>1.9999999999999999E-7</v>
      </c>
      <c r="M31" s="242">
        <v>5.91</v>
      </c>
      <c r="N31" s="242">
        <f t="shared" si="0"/>
        <v>812830.51616410096</v>
      </c>
      <c r="O31" s="242">
        <v>4.7</v>
      </c>
      <c r="P31" s="242">
        <f t="shared" si="1"/>
        <v>50118.723362727294</v>
      </c>
      <c r="Q31" s="238" t="s">
        <v>550</v>
      </c>
      <c r="R31" s="238" t="s">
        <v>550</v>
      </c>
      <c r="S31" s="291"/>
      <c r="T31" s="245">
        <v>1.0000000000000001E-5</v>
      </c>
      <c r="U31" s="245">
        <v>5.0000000000000001E-4</v>
      </c>
      <c r="V31" s="245">
        <f>0.00001/2</f>
        <v>5.0000000000000004E-6</v>
      </c>
      <c r="W31" s="245">
        <f>0.00001/0.57</f>
        <v>1.7543859649122809E-5</v>
      </c>
      <c r="X31" s="247"/>
      <c r="Y31" s="235">
        <v>0.28999999999999998</v>
      </c>
      <c r="Z31" s="242"/>
      <c r="AA31" s="235">
        <v>1.5</v>
      </c>
      <c r="AB31" s="242"/>
      <c r="AC31" s="235">
        <v>6</v>
      </c>
      <c r="AD31" s="242"/>
      <c r="AE31" s="235">
        <v>0.64</v>
      </c>
      <c r="AF31" s="245"/>
      <c r="AG31" s="240"/>
      <c r="AH31" s="248"/>
      <c r="AI31" s="248"/>
    </row>
    <row r="32" spans="1:35" ht="102">
      <c r="A32" s="237"/>
      <c r="B32" s="249"/>
      <c r="C32" s="303"/>
      <c r="D32" s="304"/>
      <c r="E32" s="250" t="s">
        <v>1210</v>
      </c>
      <c r="F32" s="249" t="s">
        <v>1210</v>
      </c>
      <c r="G32" s="251"/>
      <c r="H32" s="251" t="s">
        <v>1210</v>
      </c>
      <c r="I32" s="251"/>
      <c r="J32" s="244" t="s">
        <v>686</v>
      </c>
      <c r="K32" s="251"/>
      <c r="L32" s="249" t="s">
        <v>1209</v>
      </c>
      <c r="M32" s="249" t="s">
        <v>1210</v>
      </c>
      <c r="N32" s="242"/>
      <c r="O32" s="249" t="s">
        <v>1209</v>
      </c>
      <c r="P32" s="242"/>
      <c r="Q32" s="265" t="s">
        <v>550</v>
      </c>
      <c r="R32" s="265" t="s">
        <v>550</v>
      </c>
      <c r="S32" s="292"/>
      <c r="T32" s="254" t="s">
        <v>1212</v>
      </c>
      <c r="U32" s="256" t="s">
        <v>1185</v>
      </c>
      <c r="V32" s="249" t="s">
        <v>1213</v>
      </c>
      <c r="W32" s="249" t="s">
        <v>1214</v>
      </c>
      <c r="X32" s="253"/>
      <c r="Y32" s="256" t="s">
        <v>1215</v>
      </c>
      <c r="Z32" s="255"/>
      <c r="AA32" s="256" t="s">
        <v>1215</v>
      </c>
      <c r="AB32" s="257"/>
      <c r="AC32" s="256" t="s">
        <v>1215</v>
      </c>
      <c r="AD32" s="255"/>
      <c r="AE32" s="256" t="s">
        <v>1215</v>
      </c>
      <c r="AF32" s="256"/>
      <c r="AG32" s="305"/>
      <c r="AH32" s="258"/>
      <c r="AI32" s="258"/>
    </row>
    <row r="33" spans="1:35">
      <c r="A33" s="237" t="s">
        <v>340</v>
      </c>
      <c r="B33" s="245" t="s">
        <v>128</v>
      </c>
      <c r="C33" s="296" t="s">
        <v>550</v>
      </c>
      <c r="D33" s="259"/>
      <c r="E33" s="275">
        <v>326.43299999999999</v>
      </c>
      <c r="F33" s="245">
        <v>2.0559631064471007E-2</v>
      </c>
      <c r="G33" s="243">
        <v>10</v>
      </c>
      <c r="H33" s="276">
        <v>3.9016195900679843E-4</v>
      </c>
      <c r="I33" s="243">
        <v>10</v>
      </c>
      <c r="J33" s="245">
        <v>6.1947482550000004</v>
      </c>
      <c r="K33" s="243">
        <v>10</v>
      </c>
      <c r="L33" s="245">
        <v>1.9999999999999999E-7</v>
      </c>
      <c r="M33" s="242">
        <v>6.33</v>
      </c>
      <c r="N33" s="242">
        <f t="shared" si="0"/>
        <v>2137962.0895022359</v>
      </c>
      <c r="O33" s="242">
        <v>5.93</v>
      </c>
      <c r="P33" s="242">
        <f t="shared" si="1"/>
        <v>851138.03820237669</v>
      </c>
      <c r="Q33" s="238" t="s">
        <v>550</v>
      </c>
      <c r="R33" s="238" t="s">
        <v>550</v>
      </c>
      <c r="S33" s="291"/>
      <c r="T33" s="245">
        <v>1.0000000000000001E-5</v>
      </c>
      <c r="U33" s="245">
        <v>5.0000000000000001E-4</v>
      </c>
      <c r="V33" s="245">
        <f>0.00001/2</f>
        <v>5.0000000000000004E-6</v>
      </c>
      <c r="W33" s="245">
        <f>0.00001/0.57</f>
        <v>1.7543859649122809E-5</v>
      </c>
      <c r="X33" s="247"/>
      <c r="Y33" s="235">
        <v>0.01</v>
      </c>
      <c r="Z33" s="242"/>
      <c r="AA33" s="235">
        <v>0.35</v>
      </c>
      <c r="AB33" s="242"/>
      <c r="AC33" s="235">
        <v>1.5</v>
      </c>
      <c r="AD33" s="242"/>
      <c r="AE33" s="235">
        <v>0.23</v>
      </c>
      <c r="AF33" s="245"/>
      <c r="AG33" s="240"/>
      <c r="AH33" s="248"/>
      <c r="AI33" s="248"/>
    </row>
    <row r="34" spans="1:35" ht="102">
      <c r="A34" s="237"/>
      <c r="B34" s="249"/>
      <c r="C34" s="303"/>
      <c r="D34" s="304"/>
      <c r="E34" s="250" t="s">
        <v>1210</v>
      </c>
      <c r="F34" s="249" t="s">
        <v>1210</v>
      </c>
      <c r="G34" s="251"/>
      <c r="H34" s="251" t="s">
        <v>1210</v>
      </c>
      <c r="I34" s="251"/>
      <c r="J34" s="244" t="s">
        <v>686</v>
      </c>
      <c r="K34" s="251"/>
      <c r="L34" s="249" t="s">
        <v>1209</v>
      </c>
      <c r="M34" s="249" t="s">
        <v>1210</v>
      </c>
      <c r="N34" s="242"/>
      <c r="O34" s="249" t="s">
        <v>1216</v>
      </c>
      <c r="P34" s="242"/>
      <c r="Q34" s="265" t="s">
        <v>550</v>
      </c>
      <c r="R34" s="265" t="s">
        <v>550</v>
      </c>
      <c r="S34" s="292"/>
      <c r="T34" s="254" t="s">
        <v>1212</v>
      </c>
      <c r="U34" s="256" t="s">
        <v>1185</v>
      </c>
      <c r="V34" s="249" t="s">
        <v>1213</v>
      </c>
      <c r="W34" s="249" t="s">
        <v>1214</v>
      </c>
      <c r="X34" s="253"/>
      <c r="Y34" s="256" t="s">
        <v>1215</v>
      </c>
      <c r="Z34" s="255"/>
      <c r="AA34" s="256" t="s">
        <v>1215</v>
      </c>
      <c r="AB34" s="257"/>
      <c r="AC34" s="256" t="s">
        <v>1215</v>
      </c>
      <c r="AD34" s="255"/>
      <c r="AE34" s="256" t="s">
        <v>1215</v>
      </c>
      <c r="AF34" s="256"/>
      <c r="AG34" s="305"/>
      <c r="AH34" s="258"/>
      <c r="AI34" s="258"/>
    </row>
    <row r="35" spans="1:35" ht="15">
      <c r="A35" s="237" t="s">
        <v>341</v>
      </c>
      <c r="B35" s="245" t="s">
        <v>130</v>
      </c>
      <c r="C35" t="s">
        <v>1948</v>
      </c>
      <c r="D35" s="259"/>
      <c r="E35" s="275">
        <v>326.43299999999999</v>
      </c>
      <c r="F35" s="245">
        <v>1.2730685797056425E-2</v>
      </c>
      <c r="G35" s="243">
        <v>10</v>
      </c>
      <c r="H35" s="276">
        <v>1.5095172201366617E-4</v>
      </c>
      <c r="I35" s="243">
        <v>10</v>
      </c>
      <c r="J35" s="245">
        <v>3.7518773350000001</v>
      </c>
      <c r="K35" s="243">
        <v>10</v>
      </c>
      <c r="L35" s="245">
        <v>1.9999999999999999E-7</v>
      </c>
      <c r="M35" s="242">
        <v>6.69</v>
      </c>
      <c r="N35" s="242">
        <f t="shared" si="0"/>
        <v>4897788.1936844708</v>
      </c>
      <c r="O35" s="242">
        <v>6.35</v>
      </c>
      <c r="P35" s="242">
        <f t="shared" si="1"/>
        <v>2238721.1385683389</v>
      </c>
      <c r="Q35" s="238" t="s">
        <v>550</v>
      </c>
      <c r="R35" s="238" t="s">
        <v>550</v>
      </c>
      <c r="S35" s="291"/>
      <c r="T35" s="245">
        <v>1.0000000000000001E-5</v>
      </c>
      <c r="U35" s="245">
        <v>5.0000000000000001E-4</v>
      </c>
      <c r="V35" s="245">
        <f>0.00001/2</f>
        <v>5.0000000000000004E-6</v>
      </c>
      <c r="W35" s="245">
        <f>0.00001/0.57</f>
        <v>1.7543859649122809E-5</v>
      </c>
      <c r="X35" s="247"/>
      <c r="Y35" s="235">
        <v>0.01</v>
      </c>
      <c r="Z35" s="242"/>
      <c r="AA35" s="235">
        <v>0.35</v>
      </c>
      <c r="AB35" s="242"/>
      <c r="AC35" s="235">
        <v>1.5</v>
      </c>
      <c r="AD35" s="242"/>
      <c r="AE35" s="235">
        <v>0.23</v>
      </c>
      <c r="AF35" s="245"/>
      <c r="AG35" s="240"/>
      <c r="AH35" s="248"/>
      <c r="AI35" s="248"/>
    </row>
    <row r="36" spans="1:35" ht="102">
      <c r="A36" s="237"/>
      <c r="B36" s="249"/>
      <c r="C36" s="303"/>
      <c r="D36" s="304"/>
      <c r="E36" s="250" t="s">
        <v>1210</v>
      </c>
      <c r="F36" s="249" t="s">
        <v>1210</v>
      </c>
      <c r="G36" s="251"/>
      <c r="H36" s="251" t="s">
        <v>1210</v>
      </c>
      <c r="I36" s="251"/>
      <c r="J36" s="244" t="s">
        <v>686</v>
      </c>
      <c r="K36" s="251"/>
      <c r="L36" s="249" t="s">
        <v>1209</v>
      </c>
      <c r="M36" s="249" t="s">
        <v>1210</v>
      </c>
      <c r="N36" s="242"/>
      <c r="O36" s="249" t="s">
        <v>1209</v>
      </c>
      <c r="P36" s="242"/>
      <c r="Q36" s="265" t="s">
        <v>550</v>
      </c>
      <c r="R36" s="265" t="s">
        <v>550</v>
      </c>
      <c r="S36" s="292"/>
      <c r="T36" s="254" t="s">
        <v>1212</v>
      </c>
      <c r="U36" s="256" t="s">
        <v>1185</v>
      </c>
      <c r="V36" s="249" t="s">
        <v>1213</v>
      </c>
      <c r="W36" s="249" t="s">
        <v>1214</v>
      </c>
      <c r="X36" s="253"/>
      <c r="Y36" s="256" t="s">
        <v>1215</v>
      </c>
      <c r="Z36" s="255"/>
      <c r="AA36" s="256" t="s">
        <v>1215</v>
      </c>
      <c r="AB36" s="257"/>
      <c r="AC36" s="256" t="s">
        <v>1215</v>
      </c>
      <c r="AD36" s="255"/>
      <c r="AE36" s="256" t="s">
        <v>1215</v>
      </c>
      <c r="AF36" s="256"/>
      <c r="AG36" s="305"/>
      <c r="AH36" s="258"/>
      <c r="AI36" s="258"/>
    </row>
    <row r="37" spans="1:35" ht="15">
      <c r="A37" s="237" t="s">
        <v>342</v>
      </c>
      <c r="B37" s="245" t="s">
        <v>132</v>
      </c>
      <c r="C37" t="s">
        <v>1949</v>
      </c>
      <c r="D37" s="259"/>
      <c r="E37" s="275">
        <v>360.87799999999999</v>
      </c>
      <c r="F37" s="245">
        <v>3.7610737231776707E-3</v>
      </c>
      <c r="G37" s="243">
        <v>10</v>
      </c>
      <c r="H37" s="276">
        <v>8.0131893194762072E-5</v>
      </c>
      <c r="I37" s="243">
        <v>10</v>
      </c>
      <c r="J37" s="245">
        <v>4.5857929779999997</v>
      </c>
      <c r="K37" s="243">
        <v>10</v>
      </c>
      <c r="L37" s="245">
        <v>4.9999999999999998E-7</v>
      </c>
      <c r="M37" s="242">
        <v>7.22</v>
      </c>
      <c r="N37" s="242">
        <f t="shared" si="0"/>
        <v>16595869.074375641</v>
      </c>
      <c r="O37" s="242">
        <v>6.16</v>
      </c>
      <c r="P37" s="242">
        <f t="shared" si="1"/>
        <v>1445439.7707459298</v>
      </c>
      <c r="Q37" s="238" t="s">
        <v>550</v>
      </c>
      <c r="R37" s="238" t="s">
        <v>550</v>
      </c>
      <c r="S37" s="291"/>
      <c r="T37" s="245">
        <v>1.0000000000000001E-5</v>
      </c>
      <c r="U37" s="245">
        <v>5.0000000000000001E-4</v>
      </c>
      <c r="V37" s="245">
        <f>0.00001/2</f>
        <v>5.0000000000000004E-6</v>
      </c>
      <c r="W37" s="245">
        <f>0.00001/0.57</f>
        <v>1.7543859649122809E-5</v>
      </c>
      <c r="X37" s="247"/>
      <c r="Y37" s="235">
        <v>0.17</v>
      </c>
      <c r="Z37" s="242"/>
      <c r="AA37" s="235">
        <v>0.38</v>
      </c>
      <c r="AB37" s="242"/>
      <c r="AC37" s="235">
        <v>1.1000000000000001</v>
      </c>
      <c r="AD37" s="242"/>
      <c r="AE37" s="235">
        <v>0.15</v>
      </c>
      <c r="AF37" s="245"/>
      <c r="AG37" s="240"/>
      <c r="AH37" s="248"/>
      <c r="AI37" s="248"/>
    </row>
    <row r="38" spans="1:35" ht="102">
      <c r="A38" s="237"/>
      <c r="B38" s="249"/>
      <c r="C38" s="303"/>
      <c r="D38" s="304"/>
      <c r="E38" s="250" t="s">
        <v>1210</v>
      </c>
      <c r="F38" s="249" t="s">
        <v>1210</v>
      </c>
      <c r="G38" s="251"/>
      <c r="H38" s="251" t="s">
        <v>1210</v>
      </c>
      <c r="I38" s="251"/>
      <c r="J38" s="244" t="s">
        <v>686</v>
      </c>
      <c r="K38" s="251"/>
      <c r="L38" s="249" t="s">
        <v>1209</v>
      </c>
      <c r="M38" s="249" t="s">
        <v>1210</v>
      </c>
      <c r="N38" s="242"/>
      <c r="O38" s="249" t="s">
        <v>1216</v>
      </c>
      <c r="P38" s="242"/>
      <c r="Q38" s="265" t="s">
        <v>550</v>
      </c>
      <c r="R38" s="265" t="s">
        <v>550</v>
      </c>
      <c r="S38" s="292"/>
      <c r="T38" s="254" t="s">
        <v>1212</v>
      </c>
      <c r="U38" s="256" t="s">
        <v>1185</v>
      </c>
      <c r="V38" s="249" t="s">
        <v>1213</v>
      </c>
      <c r="W38" s="249" t="s">
        <v>1214</v>
      </c>
      <c r="X38" s="253"/>
      <c r="Y38" s="256" t="s">
        <v>1215</v>
      </c>
      <c r="Z38" s="255"/>
      <c r="AA38" s="256" t="s">
        <v>1215</v>
      </c>
      <c r="AB38" s="257"/>
      <c r="AC38" s="256" t="s">
        <v>1215</v>
      </c>
      <c r="AD38" s="255"/>
      <c r="AE38" s="256" t="s">
        <v>1215</v>
      </c>
      <c r="AF38" s="256"/>
      <c r="AG38" s="305"/>
      <c r="AH38" s="258"/>
      <c r="AI38" s="258"/>
    </row>
    <row r="39" spans="1:35" ht="15">
      <c r="A39" s="237" t="s">
        <v>519</v>
      </c>
      <c r="B39" s="245" t="s">
        <v>134</v>
      </c>
      <c r="C39" t="s">
        <v>1949</v>
      </c>
      <c r="D39" s="259"/>
      <c r="E39" s="275">
        <v>360.87799999999999</v>
      </c>
      <c r="F39" s="245">
        <v>1.2260151809393006E-2</v>
      </c>
      <c r="G39" s="243">
        <v>10</v>
      </c>
      <c r="H39" s="276">
        <v>8.8847216918168362E-5</v>
      </c>
      <c r="I39" s="243">
        <v>10</v>
      </c>
      <c r="J39" s="245">
        <v>4.8697693060000002</v>
      </c>
      <c r="K39" s="243">
        <v>10</v>
      </c>
      <c r="L39" s="245">
        <v>4.9999999999999998E-7</v>
      </c>
      <c r="M39" s="242">
        <v>6.87</v>
      </c>
      <c r="N39" s="242">
        <f>10^M39</f>
        <v>7413102.4130091891</v>
      </c>
      <c r="O39" s="242">
        <v>6.47</v>
      </c>
      <c r="P39" s="242">
        <f>10^O39</f>
        <v>2951209.2266663867</v>
      </c>
      <c r="Q39" s="238" t="s">
        <v>550</v>
      </c>
      <c r="R39" s="238" t="s">
        <v>550</v>
      </c>
      <c r="S39" s="291"/>
      <c r="T39" s="245">
        <v>1.0000000000000001E-5</v>
      </c>
      <c r="U39" s="245">
        <v>5.0000000000000001E-4</v>
      </c>
      <c r="V39" s="245">
        <f>0.00001/2</f>
        <v>5.0000000000000004E-6</v>
      </c>
      <c r="W39" s="245">
        <f>0.00001/0.57</f>
        <v>1.7543859649122809E-5</v>
      </c>
      <c r="X39" s="247"/>
      <c r="Y39" s="235">
        <v>0.08</v>
      </c>
      <c r="Z39" s="242"/>
      <c r="AA39" s="235">
        <v>0.28000000000000003</v>
      </c>
      <c r="AB39" s="242"/>
      <c r="AC39" s="235">
        <v>0.74</v>
      </c>
      <c r="AD39" s="242"/>
      <c r="AE39" s="235">
        <v>0.01</v>
      </c>
      <c r="AF39" s="245"/>
      <c r="AG39" s="240"/>
      <c r="AH39" s="248"/>
      <c r="AI39" s="248"/>
    </row>
    <row r="40" spans="1:35" ht="102">
      <c r="A40" s="237"/>
      <c r="B40" s="249"/>
      <c r="C40" s="303"/>
      <c r="D40" s="304"/>
      <c r="E40" s="250" t="s">
        <v>1210</v>
      </c>
      <c r="F40" s="249" t="s">
        <v>1210</v>
      </c>
      <c r="G40" s="251"/>
      <c r="H40" s="251" t="s">
        <v>1210</v>
      </c>
      <c r="I40" s="251"/>
      <c r="J40" s="244" t="s">
        <v>686</v>
      </c>
      <c r="K40" s="251"/>
      <c r="L40" s="249" t="s">
        <v>1209</v>
      </c>
      <c r="M40" s="249" t="s">
        <v>1210</v>
      </c>
      <c r="N40" s="242"/>
      <c r="O40" s="249" t="s">
        <v>1217</v>
      </c>
      <c r="P40" s="242"/>
      <c r="Q40" s="265" t="s">
        <v>550</v>
      </c>
      <c r="R40" s="265" t="s">
        <v>550</v>
      </c>
      <c r="S40" s="292"/>
      <c r="T40" s="254" t="s">
        <v>1212</v>
      </c>
      <c r="U40" s="256" t="s">
        <v>1185</v>
      </c>
      <c r="V40" s="249" t="s">
        <v>1213</v>
      </c>
      <c r="W40" s="249" t="s">
        <v>1214</v>
      </c>
      <c r="X40" s="253"/>
      <c r="Y40" s="256" t="s">
        <v>1215</v>
      </c>
      <c r="Z40" s="255"/>
      <c r="AA40" s="256" t="s">
        <v>1215</v>
      </c>
      <c r="AB40" s="257"/>
      <c r="AC40" s="256" t="s">
        <v>1215</v>
      </c>
      <c r="AD40" s="255"/>
      <c r="AE40" s="256" t="s">
        <v>1215</v>
      </c>
      <c r="AF40" s="256"/>
      <c r="AG40" s="305"/>
      <c r="AH40" s="258"/>
      <c r="AI40" s="258"/>
    </row>
    <row r="41" spans="1:35" ht="15">
      <c r="A41" s="237" t="s">
        <v>343</v>
      </c>
      <c r="B41" s="245" t="s">
        <v>136</v>
      </c>
      <c r="C41" t="s">
        <v>1950</v>
      </c>
      <c r="D41" s="259"/>
      <c r="E41" s="275">
        <v>395.32299999999998</v>
      </c>
      <c r="F41" s="245">
        <v>3.0058754196884783E-3</v>
      </c>
      <c r="G41" s="243">
        <v>10</v>
      </c>
      <c r="H41" s="276">
        <v>1.4999238860842575E-5</v>
      </c>
      <c r="I41" s="243">
        <v>10</v>
      </c>
      <c r="J41" s="245">
        <v>1.972651318</v>
      </c>
      <c r="K41" s="243">
        <v>10</v>
      </c>
      <c r="L41" s="245">
        <v>4.9999999999999998E-7</v>
      </c>
      <c r="M41" s="242">
        <v>7.16</v>
      </c>
      <c r="N41" s="242">
        <f>10^M41</f>
        <v>14454397.707459314</v>
      </c>
      <c r="O41" s="242">
        <v>6.83</v>
      </c>
      <c r="P41" s="242">
        <f>10^O41</f>
        <v>6760829.7539198333</v>
      </c>
      <c r="Q41" s="238" t="s">
        <v>550</v>
      </c>
      <c r="R41" s="238" t="s">
        <v>550</v>
      </c>
      <c r="S41" s="291"/>
      <c r="T41" s="245">
        <v>1.0000000000000001E-5</v>
      </c>
      <c r="U41" s="245">
        <v>5.0000000000000001E-4</v>
      </c>
      <c r="V41" s="245">
        <f>0.00001/2</f>
        <v>5.0000000000000004E-6</v>
      </c>
      <c r="W41" s="245">
        <f>0.00001/0.57</f>
        <v>1.7543859649122809E-5</v>
      </c>
      <c r="X41" s="247"/>
      <c r="Y41" s="235">
        <v>0.08</v>
      </c>
      <c r="Z41" s="242"/>
      <c r="AA41" s="235">
        <v>0.28000000000000003</v>
      </c>
      <c r="AB41" s="242"/>
      <c r="AC41" s="235">
        <v>0.74</v>
      </c>
      <c r="AD41" s="242"/>
      <c r="AE41" s="235">
        <v>0.01</v>
      </c>
      <c r="AF41" s="245"/>
      <c r="AG41" s="240"/>
      <c r="AH41" s="248"/>
      <c r="AI41" s="248"/>
    </row>
    <row r="42" spans="1:35" ht="127.5">
      <c r="A42" s="237"/>
      <c r="B42" s="249"/>
      <c r="C42" s="303"/>
      <c r="D42" s="304"/>
      <c r="E42" s="250" t="s">
        <v>1210</v>
      </c>
      <c r="F42" s="249" t="s">
        <v>1210</v>
      </c>
      <c r="G42" s="251"/>
      <c r="H42" s="251" t="s">
        <v>1210</v>
      </c>
      <c r="I42" s="251"/>
      <c r="J42" s="244" t="s">
        <v>686</v>
      </c>
      <c r="K42" s="251"/>
      <c r="L42" s="249" t="s">
        <v>1209</v>
      </c>
      <c r="M42" s="249" t="s">
        <v>1210</v>
      </c>
      <c r="N42" s="242"/>
      <c r="O42" s="249" t="s">
        <v>1218</v>
      </c>
      <c r="P42" s="242"/>
      <c r="Q42" s="265" t="s">
        <v>550</v>
      </c>
      <c r="R42" s="265" t="s">
        <v>550</v>
      </c>
      <c r="S42" s="292"/>
      <c r="T42" s="254" t="s">
        <v>1212</v>
      </c>
      <c r="U42" s="256" t="s">
        <v>1185</v>
      </c>
      <c r="V42" s="249" t="s">
        <v>1213</v>
      </c>
      <c r="W42" s="249" t="s">
        <v>1214</v>
      </c>
      <c r="X42" s="253"/>
      <c r="Y42" s="256" t="s">
        <v>1215</v>
      </c>
      <c r="Z42" s="255"/>
      <c r="AA42" s="256" t="s">
        <v>1215</v>
      </c>
      <c r="AB42" s="257"/>
      <c r="AC42" s="256" t="s">
        <v>1215</v>
      </c>
      <c r="AD42" s="255"/>
      <c r="AE42" s="256" t="s">
        <v>1215</v>
      </c>
      <c r="AF42" s="256"/>
      <c r="AG42" s="305"/>
      <c r="AH42" s="258"/>
      <c r="AI42" s="258"/>
    </row>
    <row r="43" spans="1:35" ht="15.75">
      <c r="A43" s="237">
        <v>14</v>
      </c>
      <c r="B43" s="238" t="s">
        <v>67</v>
      </c>
      <c r="C43" s="239" t="s">
        <v>685</v>
      </c>
      <c r="D43" s="240"/>
      <c r="E43" s="475">
        <v>112.557</v>
      </c>
      <c r="F43" s="476">
        <v>453.7</v>
      </c>
      <c r="G43" s="477">
        <v>10</v>
      </c>
      <c r="H43" s="476">
        <v>700.52</v>
      </c>
      <c r="I43" s="477">
        <v>10</v>
      </c>
      <c r="J43" s="478">
        <v>183.6</v>
      </c>
      <c r="K43" s="477">
        <v>10</v>
      </c>
      <c r="L43" s="479">
        <v>3.4999999999999999E-6</v>
      </c>
      <c r="M43" s="476">
        <v>2.84</v>
      </c>
      <c r="N43" s="476">
        <f>10^M43</f>
        <v>691.83097091893671</v>
      </c>
      <c r="O43" s="476">
        <v>2.3066</v>
      </c>
      <c r="P43" s="476">
        <f>10^O43</f>
        <v>202.58160145013579</v>
      </c>
      <c r="Q43" s="474" t="s">
        <v>550</v>
      </c>
      <c r="R43" s="474" t="s">
        <v>550</v>
      </c>
      <c r="S43" s="246"/>
      <c r="T43" s="479">
        <v>0.02</v>
      </c>
      <c r="U43" s="479">
        <v>0.5</v>
      </c>
      <c r="V43" s="479"/>
      <c r="W43" s="479"/>
      <c r="X43" s="247"/>
      <c r="Y43" s="242"/>
      <c r="Z43" s="242"/>
      <c r="AA43" s="245"/>
      <c r="AB43" s="242"/>
      <c r="AC43" s="245"/>
      <c r="AD43" s="242"/>
      <c r="AE43" s="242"/>
      <c r="AF43" s="245"/>
      <c r="AG43" s="240"/>
      <c r="AH43" s="248"/>
      <c r="AI43" s="248"/>
    </row>
    <row r="44" spans="1:35" ht="242.25">
      <c r="A44" s="237"/>
      <c r="B44" s="249"/>
      <c r="C44" s="239"/>
      <c r="D44" s="240"/>
      <c r="E44" s="481" t="s">
        <v>687</v>
      </c>
      <c r="F44" s="482" t="s">
        <v>688</v>
      </c>
      <c r="G44" s="482"/>
      <c r="H44" s="482" t="s">
        <v>689</v>
      </c>
      <c r="I44" s="482"/>
      <c r="J44" s="478" t="s">
        <v>686</v>
      </c>
      <c r="K44" s="482"/>
      <c r="L44" s="482" t="s">
        <v>690</v>
      </c>
      <c r="M44" s="480" t="s">
        <v>691</v>
      </c>
      <c r="N44" s="476"/>
      <c r="O44" s="482" t="s">
        <v>692</v>
      </c>
      <c r="P44" s="476"/>
      <c r="Q44" s="480" t="s">
        <v>693</v>
      </c>
      <c r="R44" s="480" t="s">
        <v>693</v>
      </c>
      <c r="S44" s="252"/>
      <c r="T44" s="480" t="s">
        <v>694</v>
      </c>
      <c r="U44" s="480" t="s">
        <v>695</v>
      </c>
      <c r="V44" s="480"/>
      <c r="W44" s="480"/>
      <c r="X44" s="253"/>
      <c r="Y44" s="254"/>
      <c r="Z44" s="255"/>
      <c r="AA44" s="256"/>
      <c r="AB44" s="257"/>
      <c r="AC44" s="256"/>
      <c r="AD44" s="255"/>
      <c r="AE44" s="257"/>
      <c r="AF44" s="256"/>
      <c r="AG44" s="253"/>
      <c r="AH44" s="258"/>
      <c r="AI44" s="258"/>
    </row>
    <row r="45" spans="1:35" ht="15.75">
      <c r="A45" s="237">
        <v>15</v>
      </c>
      <c r="B45" s="238" t="s">
        <v>72</v>
      </c>
      <c r="C45" s="239" t="s">
        <v>696</v>
      </c>
      <c r="D45" s="259"/>
      <c r="E45" s="475">
        <v>147.00200000000001</v>
      </c>
      <c r="F45" s="474">
        <v>132.97</v>
      </c>
      <c r="G45" s="477">
        <v>10</v>
      </c>
      <c r="H45" s="476">
        <v>64.923000000000002</v>
      </c>
      <c r="I45" s="477">
        <v>10</v>
      </c>
      <c r="J45" s="479">
        <v>165</v>
      </c>
      <c r="K45" s="477">
        <v>10</v>
      </c>
      <c r="L45" s="479">
        <v>1.9999999999999999E-6</v>
      </c>
      <c r="M45" s="476">
        <v>3.38</v>
      </c>
      <c r="N45" s="476">
        <f t="shared" ref="N45:N85" si="2">10^M45</f>
        <v>2398.8329190194918</v>
      </c>
      <c r="O45" s="476">
        <v>2.677113163</v>
      </c>
      <c r="P45" s="476">
        <f t="shared" ref="P45:P85" si="3">10^O45</f>
        <v>475.45909896222446</v>
      </c>
      <c r="Q45" s="474" t="s">
        <v>550</v>
      </c>
      <c r="R45" s="474" t="s">
        <v>550</v>
      </c>
      <c r="S45" s="246"/>
      <c r="T45" s="479">
        <v>0.09</v>
      </c>
      <c r="U45" s="479">
        <v>0.6</v>
      </c>
      <c r="V45" s="474"/>
      <c r="W45" s="474"/>
      <c r="X45" s="240"/>
      <c r="Y45" s="242"/>
      <c r="Z45" s="242"/>
      <c r="AA45" s="245"/>
      <c r="AB45" s="242"/>
      <c r="AC45" s="245"/>
      <c r="AD45" s="242"/>
      <c r="AE45" s="242"/>
      <c r="AF45" s="245"/>
      <c r="AG45" s="240"/>
      <c r="AH45" s="248"/>
      <c r="AI45" s="248"/>
    </row>
    <row r="46" spans="1:35" ht="242.25">
      <c r="A46" s="237"/>
      <c r="B46" s="249"/>
      <c r="C46" s="239"/>
      <c r="D46" s="240"/>
      <c r="E46" s="481" t="s">
        <v>697</v>
      </c>
      <c r="F46" s="482" t="s">
        <v>698</v>
      </c>
      <c r="G46" s="482"/>
      <c r="H46" s="480" t="s">
        <v>699</v>
      </c>
      <c r="I46" s="482"/>
      <c r="J46" s="478" t="s">
        <v>686</v>
      </c>
      <c r="K46" s="482"/>
      <c r="L46" s="482" t="s">
        <v>690</v>
      </c>
      <c r="M46" s="480" t="s">
        <v>691</v>
      </c>
      <c r="N46" s="476"/>
      <c r="O46" s="482" t="s">
        <v>700</v>
      </c>
      <c r="P46" s="476"/>
      <c r="Q46" s="480" t="s">
        <v>693</v>
      </c>
      <c r="R46" s="480" t="s">
        <v>693</v>
      </c>
      <c r="S46" s="252"/>
      <c r="T46" s="480" t="s">
        <v>701</v>
      </c>
      <c r="U46" s="480" t="s">
        <v>702</v>
      </c>
      <c r="V46" s="480"/>
      <c r="W46" s="480"/>
      <c r="X46" s="253"/>
      <c r="Y46" s="254"/>
      <c r="Z46" s="255"/>
      <c r="AA46" s="256"/>
      <c r="AB46" s="257"/>
      <c r="AC46" s="256"/>
      <c r="AD46" s="255"/>
      <c r="AE46" s="257"/>
      <c r="AF46" s="256"/>
      <c r="AG46" s="253"/>
      <c r="AH46" s="258"/>
      <c r="AI46" s="258"/>
    </row>
    <row r="47" spans="1:35">
      <c r="A47" s="237">
        <v>16</v>
      </c>
      <c r="B47" s="238" t="s">
        <v>73</v>
      </c>
      <c r="C47" s="239" t="s">
        <v>703</v>
      </c>
      <c r="D47" s="240"/>
      <c r="E47" s="475"/>
      <c r="F47" s="485"/>
      <c r="G47" s="486"/>
      <c r="H47" s="476"/>
      <c r="I47" s="477"/>
      <c r="J47" s="479">
        <v>224</v>
      </c>
      <c r="K47" s="477">
        <v>10</v>
      </c>
      <c r="L47" s="479"/>
      <c r="M47" s="476"/>
      <c r="N47" s="476"/>
      <c r="O47" s="476"/>
      <c r="P47" s="476"/>
      <c r="Q47" s="474"/>
      <c r="R47" s="474"/>
      <c r="S47" s="262"/>
      <c r="T47" s="479"/>
      <c r="U47" s="479"/>
      <c r="V47" s="479"/>
      <c r="W47" s="479"/>
      <c r="X47" s="247"/>
      <c r="Y47" s="242"/>
      <c r="Z47" s="242"/>
      <c r="AA47" s="245"/>
      <c r="AB47" s="242"/>
      <c r="AC47" s="245"/>
      <c r="AD47" s="242"/>
      <c r="AE47" s="242"/>
      <c r="AF47" s="245"/>
      <c r="AG47" s="240"/>
      <c r="AH47" s="248"/>
      <c r="AI47" s="248"/>
    </row>
    <row r="48" spans="1:35">
      <c r="A48" s="237"/>
      <c r="B48" s="249"/>
      <c r="C48" s="239"/>
      <c r="D48" s="240"/>
      <c r="E48" s="481"/>
      <c r="F48" s="487"/>
      <c r="G48" s="488"/>
      <c r="H48" s="482"/>
      <c r="I48" s="482"/>
      <c r="J48" s="478" t="s">
        <v>686</v>
      </c>
      <c r="K48" s="482"/>
      <c r="L48" s="482"/>
      <c r="M48" s="482"/>
      <c r="N48" s="476"/>
      <c r="O48" s="482"/>
      <c r="P48" s="476"/>
      <c r="Q48" s="480"/>
      <c r="R48" s="489"/>
      <c r="S48" s="266"/>
      <c r="T48" s="480"/>
      <c r="U48" s="480"/>
      <c r="V48" s="480"/>
      <c r="W48" s="480"/>
      <c r="X48" s="253"/>
      <c r="Y48" s="254"/>
      <c r="Z48" s="255"/>
      <c r="AA48" s="256"/>
      <c r="AB48" s="257"/>
      <c r="AC48" s="256"/>
      <c r="AD48" s="255"/>
      <c r="AE48" s="257"/>
      <c r="AF48" s="256"/>
      <c r="AG48" s="253"/>
      <c r="AH48" s="258"/>
      <c r="AI48" s="258"/>
    </row>
    <row r="49" spans="1:35">
      <c r="A49" s="237">
        <v>17</v>
      </c>
      <c r="B49" s="238" t="s">
        <v>74</v>
      </c>
      <c r="C49" s="239" t="s">
        <v>703</v>
      </c>
      <c r="D49" s="240"/>
      <c r="E49" s="475">
        <v>147.00200000000001</v>
      </c>
      <c r="F49" s="473">
        <v>51.2</v>
      </c>
      <c r="G49" s="486">
        <v>10</v>
      </c>
      <c r="H49" s="476">
        <v>32.94</v>
      </c>
      <c r="I49" s="477">
        <v>10</v>
      </c>
      <c r="J49" s="479">
        <v>215</v>
      </c>
      <c r="K49" s="477">
        <v>10</v>
      </c>
      <c r="L49" s="479">
        <v>1.9999999999999999E-6</v>
      </c>
      <c r="M49" s="476">
        <v>3.38</v>
      </c>
      <c r="N49" s="476">
        <f t="shared" si="2"/>
        <v>2398.8329190194918</v>
      </c>
      <c r="O49" s="476">
        <v>2.83</v>
      </c>
      <c r="P49" s="476">
        <f t="shared" si="3"/>
        <v>676.08297539198213</v>
      </c>
      <c r="Q49" s="474" t="s">
        <v>550</v>
      </c>
      <c r="R49" s="474" t="s">
        <v>550</v>
      </c>
      <c r="S49" s="267"/>
      <c r="T49" s="479">
        <v>7.0000000000000007E-2</v>
      </c>
      <c r="U49" s="479">
        <v>6.0999999999999999E-2</v>
      </c>
      <c r="V49" s="474">
        <f>0.00001/0.04</f>
        <v>2.5000000000000001E-4</v>
      </c>
      <c r="W49" s="474">
        <f>(0.00001/0.000011)*0.001</f>
        <v>9.090909090909092E-4</v>
      </c>
      <c r="X49" s="240"/>
      <c r="Y49" s="242"/>
      <c r="Z49" s="242"/>
      <c r="AA49" s="245"/>
      <c r="AB49" s="242"/>
      <c r="AC49" s="245"/>
      <c r="AD49" s="242"/>
      <c r="AE49" s="242"/>
      <c r="AF49" s="245"/>
      <c r="AG49" s="240"/>
      <c r="AH49" s="248"/>
      <c r="AI49" s="248"/>
    </row>
    <row r="50" spans="1:35" ht="242.25">
      <c r="A50" s="237"/>
      <c r="B50" s="249"/>
      <c r="C50" s="239"/>
      <c r="D50" s="240"/>
      <c r="E50" s="481" t="s">
        <v>704</v>
      </c>
      <c r="F50" s="480" t="s">
        <v>705</v>
      </c>
      <c r="G50" s="482"/>
      <c r="H50" s="482" t="s">
        <v>706</v>
      </c>
      <c r="I50" s="482"/>
      <c r="J50" s="478" t="s">
        <v>686</v>
      </c>
      <c r="K50" s="482"/>
      <c r="L50" s="482" t="s">
        <v>690</v>
      </c>
      <c r="M50" s="480" t="s">
        <v>691</v>
      </c>
      <c r="N50" s="476"/>
      <c r="O50" s="482" t="s">
        <v>707</v>
      </c>
      <c r="P50" s="476"/>
      <c r="Q50" s="480" t="s">
        <v>693</v>
      </c>
      <c r="R50" s="480" t="s">
        <v>693</v>
      </c>
      <c r="S50" s="268"/>
      <c r="T50" s="480" t="s">
        <v>708</v>
      </c>
      <c r="U50" s="480" t="s">
        <v>708</v>
      </c>
      <c r="V50" s="480" t="s">
        <v>709</v>
      </c>
      <c r="W50" s="480" t="s">
        <v>710</v>
      </c>
      <c r="X50" s="253"/>
      <c r="Y50" s="254"/>
      <c r="Z50" s="255"/>
      <c r="AA50" s="256"/>
      <c r="AB50" s="257"/>
      <c r="AC50" s="256"/>
      <c r="AD50" s="255"/>
      <c r="AE50" s="257"/>
      <c r="AF50" s="256"/>
      <c r="AG50" s="253"/>
      <c r="AH50" s="258"/>
      <c r="AI50" s="258"/>
    </row>
    <row r="51" spans="1:35">
      <c r="A51" s="237">
        <v>18</v>
      </c>
      <c r="B51" s="238" t="s">
        <v>86</v>
      </c>
      <c r="C51" s="239" t="s">
        <v>711</v>
      </c>
      <c r="D51" s="259"/>
      <c r="E51" s="241">
        <v>181.447</v>
      </c>
      <c r="F51" s="235">
        <v>14.8</v>
      </c>
      <c r="G51" s="261">
        <v>15</v>
      </c>
      <c r="H51" s="245">
        <v>4.3499999999999996</v>
      </c>
      <c r="I51" s="243">
        <v>10</v>
      </c>
      <c r="J51" s="245">
        <v>72</v>
      </c>
      <c r="K51" s="243">
        <v>20</v>
      </c>
      <c r="L51" s="245">
        <v>9.9999999999999995E-7</v>
      </c>
      <c r="M51" s="242">
        <v>4.04</v>
      </c>
      <c r="N51" s="242">
        <f t="shared" si="2"/>
        <v>10964.781961431856</v>
      </c>
      <c r="O51" s="242">
        <v>3.3346</v>
      </c>
      <c r="P51" s="242">
        <f t="shared" si="3"/>
        <v>2160.7275033932888</v>
      </c>
      <c r="Q51" s="238" t="s">
        <v>550</v>
      </c>
      <c r="R51" s="238" t="s">
        <v>550</v>
      </c>
      <c r="S51" s="246"/>
      <c r="T51" s="245">
        <v>1.5E-3</v>
      </c>
      <c r="U51" s="245">
        <v>0.05</v>
      </c>
      <c r="V51" s="238"/>
      <c r="W51" s="238"/>
      <c r="X51" s="240"/>
      <c r="Y51" s="242"/>
      <c r="Z51" s="242"/>
      <c r="AA51" s="245"/>
      <c r="AB51" s="242"/>
      <c r="AC51" s="245"/>
      <c r="AD51" s="242"/>
      <c r="AE51" s="242"/>
      <c r="AF51" s="245"/>
      <c r="AG51" s="240"/>
      <c r="AH51" s="248"/>
      <c r="AI51" s="248"/>
    </row>
    <row r="52" spans="1:35" ht="242.25">
      <c r="A52" s="237"/>
      <c r="B52" s="249"/>
      <c r="C52" s="239"/>
      <c r="D52" s="240"/>
      <c r="E52" s="250" t="s">
        <v>712</v>
      </c>
      <c r="F52" s="251" t="s">
        <v>713</v>
      </c>
      <c r="G52" s="251"/>
      <c r="H52" s="251" t="s">
        <v>714</v>
      </c>
      <c r="I52" s="251"/>
      <c r="J52" s="244" t="s">
        <v>686</v>
      </c>
      <c r="K52" s="251"/>
      <c r="L52" s="251" t="s">
        <v>690</v>
      </c>
      <c r="M52" s="251" t="s">
        <v>715</v>
      </c>
      <c r="N52" s="242"/>
      <c r="O52" s="251" t="s">
        <v>707</v>
      </c>
      <c r="P52" s="242"/>
      <c r="Q52" s="249" t="s">
        <v>693</v>
      </c>
      <c r="R52" s="249" t="s">
        <v>693</v>
      </c>
      <c r="S52" s="252"/>
      <c r="T52" s="249" t="s">
        <v>716</v>
      </c>
      <c r="U52" s="249" t="s">
        <v>702</v>
      </c>
      <c r="V52" s="249"/>
      <c r="W52" s="249"/>
      <c r="X52" s="253"/>
      <c r="Y52" s="254"/>
      <c r="Z52" s="255"/>
      <c r="AA52" s="256"/>
      <c r="AB52" s="257"/>
      <c r="AC52" s="256"/>
      <c r="AD52" s="255"/>
      <c r="AE52" s="257"/>
      <c r="AF52" s="256"/>
      <c r="AG52" s="253"/>
      <c r="AH52" s="258"/>
      <c r="AI52" s="258"/>
    </row>
    <row r="53" spans="1:35">
      <c r="A53" s="237">
        <v>19</v>
      </c>
      <c r="B53" s="238" t="s">
        <v>87</v>
      </c>
      <c r="C53" s="239" t="s">
        <v>711</v>
      </c>
      <c r="D53" s="240"/>
      <c r="E53" s="475">
        <v>181.447</v>
      </c>
      <c r="F53" s="473">
        <v>29</v>
      </c>
      <c r="G53" s="486">
        <v>15</v>
      </c>
      <c r="H53" s="479">
        <v>11.96</v>
      </c>
      <c r="I53" s="477">
        <v>10</v>
      </c>
      <c r="J53" s="479">
        <v>131</v>
      </c>
      <c r="K53" s="477">
        <v>10</v>
      </c>
      <c r="L53" s="479">
        <v>9.9999999999999995E-7</v>
      </c>
      <c r="M53" s="476">
        <v>3.98</v>
      </c>
      <c r="N53" s="476">
        <f t="shared" si="2"/>
        <v>9549.9258602143691</v>
      </c>
      <c r="O53" s="476">
        <v>3.3151000000000002</v>
      </c>
      <c r="P53" s="476">
        <f t="shared" si="3"/>
        <v>2065.855781922724</v>
      </c>
      <c r="Q53" s="474" t="s">
        <v>550</v>
      </c>
      <c r="R53" s="474" t="s">
        <v>550</v>
      </c>
      <c r="S53" s="246"/>
      <c r="T53" s="479">
        <v>1.6000000000000001E-3</v>
      </c>
      <c r="U53" s="479">
        <v>7.0000000000000001E-3</v>
      </c>
      <c r="V53" s="474"/>
      <c r="W53" s="474"/>
      <c r="X53" s="240"/>
      <c r="Y53" s="242"/>
      <c r="Z53" s="242"/>
      <c r="AA53" s="245"/>
      <c r="AB53" s="242"/>
      <c r="AC53" s="245"/>
      <c r="AD53" s="242"/>
      <c r="AE53" s="242"/>
      <c r="AF53" s="245"/>
      <c r="AG53" s="240"/>
      <c r="AH53" s="248"/>
      <c r="AI53" s="248"/>
    </row>
    <row r="54" spans="1:35" ht="242.25">
      <c r="A54" s="237"/>
      <c r="B54" s="249"/>
      <c r="C54" s="239"/>
      <c r="D54" s="240"/>
      <c r="E54" s="481" t="s">
        <v>712</v>
      </c>
      <c r="F54" s="480" t="s">
        <v>717</v>
      </c>
      <c r="G54" s="482"/>
      <c r="H54" s="482" t="s">
        <v>718</v>
      </c>
      <c r="I54" s="482"/>
      <c r="J54" s="478" t="s">
        <v>686</v>
      </c>
      <c r="K54" s="482"/>
      <c r="L54" s="482" t="s">
        <v>690</v>
      </c>
      <c r="M54" s="482" t="s">
        <v>715</v>
      </c>
      <c r="N54" s="476"/>
      <c r="O54" s="482" t="s">
        <v>707</v>
      </c>
      <c r="P54" s="476"/>
      <c r="Q54" s="480" t="s">
        <v>693</v>
      </c>
      <c r="R54" s="480" t="s">
        <v>693</v>
      </c>
      <c r="S54" s="252"/>
      <c r="T54" s="480" t="s">
        <v>716</v>
      </c>
      <c r="U54" s="480" t="s">
        <v>716</v>
      </c>
      <c r="V54" s="480"/>
      <c r="W54" s="480"/>
      <c r="X54" s="253"/>
      <c r="Y54" s="254"/>
      <c r="Z54" s="255"/>
      <c r="AA54" s="256"/>
      <c r="AB54" s="257"/>
      <c r="AC54" s="256"/>
      <c r="AD54" s="255"/>
      <c r="AE54" s="257"/>
      <c r="AF54" s="256"/>
      <c r="AG54" s="253"/>
      <c r="AH54" s="258"/>
      <c r="AI54" s="258"/>
    </row>
    <row r="55" spans="1:35">
      <c r="A55" s="237">
        <v>20</v>
      </c>
      <c r="B55" s="238" t="s">
        <v>88</v>
      </c>
      <c r="C55" s="239" t="s">
        <v>711</v>
      </c>
      <c r="D55" s="259"/>
      <c r="E55" s="241">
        <v>181.447</v>
      </c>
      <c r="F55" s="235">
        <v>6.29</v>
      </c>
      <c r="G55" s="261">
        <v>15</v>
      </c>
      <c r="H55" s="242">
        <v>7.266</v>
      </c>
      <c r="I55" s="243">
        <v>10</v>
      </c>
      <c r="J55" s="245">
        <v>192.5</v>
      </c>
      <c r="K55" s="243">
        <v>20</v>
      </c>
      <c r="L55" s="245">
        <v>9.9999999999999995E-7</v>
      </c>
      <c r="M55" s="242">
        <v>4.0199999999999996</v>
      </c>
      <c r="N55" s="242">
        <f t="shared" si="2"/>
        <v>10471.285480509003</v>
      </c>
      <c r="O55" s="242">
        <v>3.5150999999999999</v>
      </c>
      <c r="P55" s="242">
        <f t="shared" si="3"/>
        <v>3274.1607653757524</v>
      </c>
      <c r="Q55" s="238" t="s">
        <v>550</v>
      </c>
      <c r="R55" s="238" t="s">
        <v>550</v>
      </c>
      <c r="S55" s="269"/>
      <c r="T55" s="245">
        <v>1.5E-3</v>
      </c>
      <c r="U55" s="245">
        <v>3.5999999999999999E-3</v>
      </c>
      <c r="V55" s="238"/>
      <c r="W55" s="238"/>
      <c r="X55" s="240"/>
      <c r="Y55" s="242"/>
      <c r="Z55" s="242"/>
      <c r="AA55" s="245"/>
      <c r="AB55" s="242"/>
      <c r="AC55" s="245"/>
      <c r="AD55" s="242"/>
      <c r="AE55" s="242"/>
      <c r="AF55" s="245"/>
      <c r="AG55" s="240"/>
      <c r="AH55" s="248"/>
      <c r="AI55" s="248"/>
    </row>
    <row r="56" spans="1:35" ht="242.25">
      <c r="A56" s="237"/>
      <c r="B56" s="249"/>
      <c r="C56" s="239"/>
      <c r="D56" s="240"/>
      <c r="E56" s="250" t="s">
        <v>719</v>
      </c>
      <c r="F56" s="251" t="s">
        <v>720</v>
      </c>
      <c r="G56" s="251"/>
      <c r="H56" s="251" t="s">
        <v>721</v>
      </c>
      <c r="I56" s="251"/>
      <c r="J56" s="244" t="s">
        <v>686</v>
      </c>
      <c r="K56" s="251"/>
      <c r="L56" s="251" t="s">
        <v>690</v>
      </c>
      <c r="M56" s="251" t="s">
        <v>715</v>
      </c>
      <c r="N56" s="242"/>
      <c r="O56" s="251" t="s">
        <v>722</v>
      </c>
      <c r="P56" s="242"/>
      <c r="Q56" s="265" t="s">
        <v>550</v>
      </c>
      <c r="R56" s="265" t="s">
        <v>550</v>
      </c>
      <c r="S56" s="252"/>
      <c r="T56" s="249" t="s">
        <v>716</v>
      </c>
      <c r="U56" s="249" t="s">
        <v>716</v>
      </c>
      <c r="V56" s="249"/>
      <c r="W56" s="249"/>
      <c r="X56" s="253"/>
      <c r="Y56" s="254"/>
      <c r="Z56" s="255"/>
      <c r="AA56" s="256"/>
      <c r="AB56" s="257"/>
      <c r="AC56" s="256"/>
      <c r="AD56" s="255"/>
      <c r="AE56" s="257"/>
      <c r="AF56" s="256"/>
      <c r="AG56" s="253"/>
      <c r="AH56" s="258"/>
      <c r="AI56" s="258"/>
    </row>
    <row r="57" spans="1:35" ht="15.75">
      <c r="A57" s="237">
        <v>21</v>
      </c>
      <c r="B57" s="238" t="s">
        <v>116</v>
      </c>
      <c r="C57" s="239" t="s">
        <v>723</v>
      </c>
      <c r="D57" s="240"/>
      <c r="E57" s="475">
        <v>215.892</v>
      </c>
      <c r="F57" s="473">
        <v>2.11</v>
      </c>
      <c r="G57" s="486">
        <v>15</v>
      </c>
      <c r="H57" s="479">
        <v>6.99</v>
      </c>
      <c r="I57" s="477">
        <v>20</v>
      </c>
      <c r="J57" s="479">
        <v>58.5</v>
      </c>
      <c r="K57" s="477">
        <v>20</v>
      </c>
      <c r="L57" s="479">
        <v>9.9999999999999995E-7</v>
      </c>
      <c r="M57" s="474">
        <v>4.55</v>
      </c>
      <c r="N57" s="476">
        <f t="shared" si="2"/>
        <v>35481.33892335758</v>
      </c>
      <c r="O57" s="474">
        <v>3.7050000000000001</v>
      </c>
      <c r="P57" s="476">
        <f t="shared" si="3"/>
        <v>5069.9070827470441</v>
      </c>
      <c r="Q57" s="474" t="s">
        <v>550</v>
      </c>
      <c r="R57" s="474" t="s">
        <v>550</v>
      </c>
      <c r="S57" s="246"/>
      <c r="T57" s="479">
        <v>3.3999999999999998E-3</v>
      </c>
      <c r="U57" s="479"/>
      <c r="V57" s="474"/>
      <c r="W57" s="474"/>
      <c r="X57" s="240"/>
      <c r="Y57" s="242"/>
      <c r="Z57" s="242"/>
      <c r="AA57" s="245"/>
      <c r="AB57" s="242"/>
      <c r="AC57" s="245"/>
      <c r="AD57" s="242"/>
      <c r="AE57" s="242"/>
      <c r="AF57" s="245"/>
      <c r="AG57" s="240"/>
      <c r="AH57" s="248"/>
      <c r="AI57" s="248"/>
    </row>
    <row r="58" spans="1:35" ht="242.25">
      <c r="A58" s="237"/>
      <c r="B58" s="249"/>
      <c r="C58" s="239"/>
      <c r="D58" s="240"/>
      <c r="E58" s="481" t="s">
        <v>712</v>
      </c>
      <c r="F58" s="482" t="s">
        <v>724</v>
      </c>
      <c r="G58" s="482"/>
      <c r="H58" s="482" t="s">
        <v>725</v>
      </c>
      <c r="I58" s="482"/>
      <c r="J58" s="478" t="s">
        <v>686</v>
      </c>
      <c r="K58" s="498"/>
      <c r="L58" s="482" t="s">
        <v>690</v>
      </c>
      <c r="M58" s="482" t="s">
        <v>715</v>
      </c>
      <c r="N58" s="476"/>
      <c r="O58" s="480" t="s">
        <v>726</v>
      </c>
      <c r="P58" s="476"/>
      <c r="Q58" s="489" t="s">
        <v>550</v>
      </c>
      <c r="R58" s="489" t="s">
        <v>550</v>
      </c>
      <c r="S58" s="268"/>
      <c r="T58" s="480" t="s">
        <v>716</v>
      </c>
      <c r="U58" s="480"/>
      <c r="V58" s="480"/>
      <c r="W58" s="480"/>
      <c r="X58" s="253"/>
      <c r="Y58" s="254"/>
      <c r="Z58" s="255"/>
      <c r="AA58" s="256"/>
      <c r="AB58" s="257"/>
      <c r="AC58" s="256"/>
      <c r="AD58" s="255"/>
      <c r="AE58" s="257"/>
      <c r="AF58" s="256"/>
      <c r="AG58" s="253"/>
      <c r="AH58" s="258"/>
      <c r="AI58" s="258"/>
    </row>
    <row r="59" spans="1:35" ht="15.75">
      <c r="A59" s="237">
        <v>22</v>
      </c>
      <c r="B59" s="238" t="s">
        <v>117</v>
      </c>
      <c r="C59" s="239" t="s">
        <v>727</v>
      </c>
      <c r="D59" s="259"/>
      <c r="E59" s="241">
        <v>215.892</v>
      </c>
      <c r="F59" s="235">
        <v>0.32200000000000001</v>
      </c>
      <c r="G59" s="261">
        <v>15</v>
      </c>
      <c r="H59" s="245">
        <v>0.155</v>
      </c>
      <c r="I59" s="243">
        <v>17</v>
      </c>
      <c r="J59" s="245">
        <v>101</v>
      </c>
      <c r="K59" s="243">
        <v>25</v>
      </c>
      <c r="L59" s="245">
        <v>9.9999999999999995E-7</v>
      </c>
      <c r="M59" s="242">
        <v>4.51</v>
      </c>
      <c r="N59" s="242">
        <f t="shared" si="2"/>
        <v>32359.365692962871</v>
      </c>
      <c r="O59" s="242">
        <v>3.2269000000000001</v>
      </c>
      <c r="P59" s="242">
        <f t="shared" si="3"/>
        <v>1686.1647269094919</v>
      </c>
      <c r="Q59" s="265" t="s">
        <v>550</v>
      </c>
      <c r="R59" s="265" t="s">
        <v>550</v>
      </c>
      <c r="S59" s="271"/>
      <c r="T59" s="245">
        <v>2.1000000000000001E-4</v>
      </c>
      <c r="U59" s="245"/>
      <c r="V59" s="245"/>
      <c r="W59" s="245"/>
      <c r="X59" s="247"/>
      <c r="Y59" s="242"/>
      <c r="Z59" s="242"/>
      <c r="AA59" s="245"/>
      <c r="AB59" s="242"/>
      <c r="AC59" s="245"/>
      <c r="AD59" s="242"/>
      <c r="AE59" s="242"/>
      <c r="AF59" s="245"/>
      <c r="AG59" s="240"/>
      <c r="AH59" s="248"/>
      <c r="AI59" s="248"/>
    </row>
    <row r="60" spans="1:35" ht="242.25">
      <c r="A60" s="237"/>
      <c r="B60" s="249"/>
      <c r="C60" s="272"/>
      <c r="D60" s="259"/>
      <c r="E60" s="250" t="s">
        <v>712</v>
      </c>
      <c r="F60" s="251" t="s">
        <v>728</v>
      </c>
      <c r="G60" s="251"/>
      <c r="H60" s="251" t="s">
        <v>729</v>
      </c>
      <c r="I60" s="251"/>
      <c r="J60" s="244" t="s">
        <v>686</v>
      </c>
      <c r="K60" s="251"/>
      <c r="L60" s="251" t="s">
        <v>690</v>
      </c>
      <c r="M60" s="251" t="s">
        <v>715</v>
      </c>
      <c r="N60" s="242"/>
      <c r="O60" s="249" t="s">
        <v>730</v>
      </c>
      <c r="P60" s="242"/>
      <c r="Q60" s="265" t="s">
        <v>550</v>
      </c>
      <c r="R60" s="265" t="s">
        <v>550</v>
      </c>
      <c r="S60" s="273"/>
      <c r="T60" s="249" t="s">
        <v>716</v>
      </c>
      <c r="U60" s="254"/>
      <c r="V60" s="256"/>
      <c r="W60" s="256"/>
      <c r="X60" s="274"/>
      <c r="Y60" s="254"/>
      <c r="Z60" s="255"/>
      <c r="AA60" s="256"/>
      <c r="AB60" s="257"/>
      <c r="AC60" s="256"/>
      <c r="AD60" s="255"/>
      <c r="AE60" s="257"/>
      <c r="AF60" s="256"/>
      <c r="AG60" s="253"/>
      <c r="AH60" s="258"/>
      <c r="AI60" s="258"/>
    </row>
    <row r="61" spans="1:35">
      <c r="A61" s="237">
        <v>23</v>
      </c>
      <c r="B61" s="245" t="s">
        <v>118</v>
      </c>
      <c r="C61" s="239" t="s">
        <v>731</v>
      </c>
      <c r="D61" s="240"/>
      <c r="E61" s="496">
        <v>250.33699999999999</v>
      </c>
      <c r="F61" s="485">
        <v>0.254</v>
      </c>
      <c r="G61" s="486">
        <v>15</v>
      </c>
      <c r="H61" s="485">
        <v>3.2000000000000001E-2</v>
      </c>
      <c r="I61" s="486">
        <v>10</v>
      </c>
      <c r="J61" s="491">
        <v>52.6</v>
      </c>
      <c r="K61" s="486">
        <v>20</v>
      </c>
      <c r="L61" s="479">
        <v>9.9999999999999995E-7</v>
      </c>
      <c r="M61" s="476">
        <v>5.03</v>
      </c>
      <c r="N61" s="476">
        <f t="shared" si="2"/>
        <v>107151.93052376082</v>
      </c>
      <c r="O61" s="476">
        <v>4.3899999999999997</v>
      </c>
      <c r="P61" s="476">
        <f t="shared" si="3"/>
        <v>24547.089156850321</v>
      </c>
      <c r="Q61" s="479" t="s">
        <v>550</v>
      </c>
      <c r="R61" s="479" t="s">
        <v>550</v>
      </c>
      <c r="S61" s="277"/>
      <c r="T61" s="479">
        <v>8.0000000000000004E-4</v>
      </c>
      <c r="U61" s="474"/>
      <c r="V61" s="479"/>
      <c r="W61" s="479"/>
      <c r="X61" s="247"/>
      <c r="Y61" s="242"/>
      <c r="Z61" s="242"/>
      <c r="AA61" s="245"/>
      <c r="AB61" s="242"/>
      <c r="AC61" s="245"/>
      <c r="AD61" s="242"/>
      <c r="AE61" s="242"/>
      <c r="AF61" s="245"/>
      <c r="AG61" s="240"/>
      <c r="AH61" s="248"/>
      <c r="AI61" s="248"/>
    </row>
    <row r="62" spans="1:35" ht="165.75">
      <c r="A62" s="237"/>
      <c r="B62" s="249"/>
      <c r="C62" s="239"/>
      <c r="D62" s="240"/>
      <c r="E62" s="481" t="s">
        <v>732</v>
      </c>
      <c r="F62" s="482" t="s">
        <v>733</v>
      </c>
      <c r="G62" s="482"/>
      <c r="H62" s="482" t="s">
        <v>734</v>
      </c>
      <c r="I62" s="482"/>
      <c r="J62" s="478" t="s">
        <v>686</v>
      </c>
      <c r="K62" s="488"/>
      <c r="L62" s="480" t="s">
        <v>735</v>
      </c>
      <c r="M62" s="482" t="s">
        <v>715</v>
      </c>
      <c r="N62" s="476"/>
      <c r="O62" s="480" t="s">
        <v>736</v>
      </c>
      <c r="P62" s="476"/>
      <c r="Q62" s="489" t="s">
        <v>550</v>
      </c>
      <c r="R62" s="489" t="s">
        <v>550</v>
      </c>
      <c r="S62" s="278"/>
      <c r="T62" s="480" t="s">
        <v>737</v>
      </c>
      <c r="U62" s="480"/>
      <c r="V62" s="480"/>
      <c r="W62" s="480"/>
      <c r="X62" s="253"/>
      <c r="Y62" s="254"/>
      <c r="Z62" s="255"/>
      <c r="AA62" s="256"/>
      <c r="AB62" s="257"/>
      <c r="AC62" s="256"/>
      <c r="AD62" s="255"/>
      <c r="AE62" s="257"/>
      <c r="AF62" s="256"/>
      <c r="AG62" s="253"/>
      <c r="AH62" s="258"/>
      <c r="AI62" s="258"/>
    </row>
    <row r="63" spans="1:35">
      <c r="A63" s="237">
        <v>24</v>
      </c>
      <c r="B63" s="238" t="s">
        <v>119</v>
      </c>
      <c r="C63" s="239" t="s">
        <v>738</v>
      </c>
      <c r="D63" s="240"/>
      <c r="E63" s="496">
        <v>284.78199999999998</v>
      </c>
      <c r="F63" s="476">
        <v>9.2099999999999994E-3</v>
      </c>
      <c r="G63" s="477">
        <v>15</v>
      </c>
      <c r="H63" s="479">
        <v>3.5300000000000002E-4</v>
      </c>
      <c r="I63" s="477">
        <v>10</v>
      </c>
      <c r="J63" s="479">
        <v>35.1</v>
      </c>
      <c r="K63" s="477">
        <v>20</v>
      </c>
      <c r="L63" s="479">
        <v>9.9999999999999995E-7</v>
      </c>
      <c r="M63" s="476">
        <v>5.47</v>
      </c>
      <c r="N63" s="476">
        <f t="shared" si="2"/>
        <v>295120.92266663886</v>
      </c>
      <c r="O63" s="476">
        <v>4.0442</v>
      </c>
      <c r="P63" s="476">
        <f t="shared" si="3"/>
        <v>11071.335204255221</v>
      </c>
      <c r="Q63" s="474" t="s">
        <v>550</v>
      </c>
      <c r="R63" s="474" t="s">
        <v>550</v>
      </c>
      <c r="S63" s="277"/>
      <c r="T63" s="479">
        <v>5.0000000000000002E-5</v>
      </c>
      <c r="U63" s="474"/>
      <c r="V63" s="479">
        <f>0.00001/1.8</f>
        <v>5.5555555555555558E-6</v>
      </c>
      <c r="W63" s="479">
        <f>(0.00001/0.00051)*0.001</f>
        <v>1.9607843137254903E-5</v>
      </c>
      <c r="X63" s="247"/>
      <c r="Y63" s="242"/>
      <c r="Z63" s="242"/>
      <c r="AA63" s="245"/>
      <c r="AB63" s="242"/>
      <c r="AC63" s="245"/>
      <c r="AD63" s="242"/>
      <c r="AE63" s="242"/>
      <c r="AF63" s="245"/>
      <c r="AG63" s="240"/>
      <c r="AH63" s="248"/>
      <c r="AI63" s="248"/>
    </row>
    <row r="64" spans="1:35" ht="242.25">
      <c r="A64" s="237"/>
      <c r="B64" s="256"/>
      <c r="C64" s="239"/>
      <c r="D64" s="240"/>
      <c r="E64" s="497" t="s">
        <v>739</v>
      </c>
      <c r="F64" s="482" t="s">
        <v>740</v>
      </c>
      <c r="G64" s="482"/>
      <c r="H64" s="482" t="s">
        <v>741</v>
      </c>
      <c r="I64" s="482"/>
      <c r="J64" s="478" t="s">
        <v>686</v>
      </c>
      <c r="K64" s="498"/>
      <c r="L64" s="484" t="s">
        <v>690</v>
      </c>
      <c r="M64" s="482" t="s">
        <v>715</v>
      </c>
      <c r="N64" s="476"/>
      <c r="O64" s="480" t="s">
        <v>742</v>
      </c>
      <c r="P64" s="476"/>
      <c r="Q64" s="489" t="s">
        <v>550</v>
      </c>
      <c r="R64" s="489" t="s">
        <v>550</v>
      </c>
      <c r="S64" s="277"/>
      <c r="T64" s="480" t="s">
        <v>708</v>
      </c>
      <c r="U64" s="480"/>
      <c r="V64" s="480" t="s">
        <v>743</v>
      </c>
      <c r="W64" s="480" t="s">
        <v>744</v>
      </c>
      <c r="X64" s="253"/>
      <c r="Y64" s="254"/>
      <c r="Z64" s="255"/>
      <c r="AA64" s="256"/>
      <c r="AB64" s="257"/>
      <c r="AC64" s="256"/>
      <c r="AD64" s="255"/>
      <c r="AE64" s="257"/>
      <c r="AF64" s="256"/>
      <c r="AG64" s="253"/>
      <c r="AH64" s="258"/>
      <c r="AI64" s="258"/>
    </row>
    <row r="65" spans="1:35">
      <c r="A65" s="237">
        <v>25</v>
      </c>
      <c r="B65" s="238" t="s">
        <v>89</v>
      </c>
      <c r="C65" s="239" t="s">
        <v>745</v>
      </c>
      <c r="D65" s="240"/>
      <c r="E65" s="275">
        <v>108.13800000000001</v>
      </c>
      <c r="F65" s="242">
        <v>25000</v>
      </c>
      <c r="G65" s="243">
        <v>20</v>
      </c>
      <c r="H65" s="242">
        <v>9.43</v>
      </c>
      <c r="I65" s="243" t="s">
        <v>550</v>
      </c>
      <c r="J65" s="245">
        <v>5.5599999999999997E-2</v>
      </c>
      <c r="K65" s="243">
        <v>10</v>
      </c>
      <c r="L65" s="245">
        <v>9.9999999999999995E-7</v>
      </c>
      <c r="M65" s="242">
        <v>1.98</v>
      </c>
      <c r="N65" s="242">
        <f t="shared" si="2"/>
        <v>95.499258602143655</v>
      </c>
      <c r="O65" s="242">
        <v>1.4376</v>
      </c>
      <c r="P65" s="242">
        <f t="shared" si="3"/>
        <v>27.39050251286865</v>
      </c>
      <c r="Q65" s="238">
        <v>10.25</v>
      </c>
      <c r="R65" s="238">
        <v>1</v>
      </c>
      <c r="S65" s="277"/>
      <c r="T65" s="245">
        <v>0.05</v>
      </c>
      <c r="U65" s="245">
        <v>0.17</v>
      </c>
      <c r="V65" s="245"/>
      <c r="W65" s="245"/>
      <c r="X65" s="247"/>
      <c r="Y65" s="242"/>
      <c r="Z65" s="242"/>
      <c r="AA65" s="245"/>
      <c r="AB65" s="242"/>
      <c r="AC65" s="245"/>
      <c r="AD65" s="242"/>
      <c r="AE65" s="242"/>
      <c r="AF65" s="245"/>
      <c r="AG65" s="240"/>
      <c r="AH65" s="248"/>
      <c r="AI65" s="248"/>
    </row>
    <row r="66" spans="1:35" ht="242.25">
      <c r="A66" s="237"/>
      <c r="B66" s="249"/>
      <c r="C66" s="239"/>
      <c r="D66" s="240"/>
      <c r="E66" s="250" t="s">
        <v>746</v>
      </c>
      <c r="F66" s="256" t="s">
        <v>747</v>
      </c>
      <c r="G66" s="264"/>
      <c r="H66" s="249" t="s">
        <v>748</v>
      </c>
      <c r="I66" s="251"/>
      <c r="J66" s="244" t="s">
        <v>686</v>
      </c>
      <c r="K66" s="270"/>
      <c r="L66" s="249" t="s">
        <v>690</v>
      </c>
      <c r="M66" s="251" t="s">
        <v>715</v>
      </c>
      <c r="N66" s="242"/>
      <c r="O66" s="249" t="s">
        <v>749</v>
      </c>
      <c r="P66" s="242"/>
      <c r="Q66" s="265" t="s">
        <v>750</v>
      </c>
      <c r="R66" s="265" t="s">
        <v>550</v>
      </c>
      <c r="S66" s="278"/>
      <c r="T66" s="249" t="s">
        <v>751</v>
      </c>
      <c r="U66" s="249" t="s">
        <v>702</v>
      </c>
      <c r="V66" s="249"/>
      <c r="W66" s="249"/>
      <c r="X66" s="253"/>
      <c r="Y66" s="254"/>
      <c r="Z66" s="255"/>
      <c r="AA66" s="256"/>
      <c r="AB66" s="257"/>
      <c r="AC66" s="256"/>
      <c r="AD66" s="255"/>
      <c r="AE66" s="257"/>
      <c r="AF66" s="256"/>
      <c r="AG66" s="253"/>
      <c r="AH66" s="258"/>
      <c r="AI66" s="258"/>
    </row>
    <row r="67" spans="1:35">
      <c r="A67" s="237">
        <v>26</v>
      </c>
      <c r="B67" s="238" t="s">
        <v>90</v>
      </c>
      <c r="C67" s="239" t="s">
        <v>745</v>
      </c>
      <c r="D67" s="259"/>
      <c r="E67" s="275">
        <v>108.13800000000001</v>
      </c>
      <c r="F67" s="242">
        <v>23600</v>
      </c>
      <c r="G67" s="243" t="s">
        <v>550</v>
      </c>
      <c r="H67" s="245">
        <v>4.9580000000000002</v>
      </c>
      <c r="I67" s="243">
        <v>10</v>
      </c>
      <c r="J67" s="245">
        <v>2.8299999999999999E-2</v>
      </c>
      <c r="K67" s="243">
        <v>10</v>
      </c>
      <c r="L67" s="245">
        <v>9.9999999999999995E-7</v>
      </c>
      <c r="M67" s="242">
        <v>1.98</v>
      </c>
      <c r="N67" s="242">
        <f t="shared" si="2"/>
        <v>95.499258602143655</v>
      </c>
      <c r="O67" s="242">
        <v>1.5059179549999999</v>
      </c>
      <c r="P67" s="242">
        <f t="shared" si="3"/>
        <v>32.056636674424823</v>
      </c>
      <c r="Q67" s="238">
        <v>10.029999999999999</v>
      </c>
      <c r="R67" s="238">
        <v>1</v>
      </c>
      <c r="S67" s="277"/>
      <c r="T67" s="245">
        <v>0.05</v>
      </c>
      <c r="U67" s="245">
        <v>0.17</v>
      </c>
      <c r="V67" s="245"/>
      <c r="W67" s="245"/>
      <c r="X67" s="247"/>
      <c r="Y67" s="242"/>
      <c r="Z67" s="242"/>
      <c r="AA67" s="245"/>
      <c r="AB67" s="242"/>
      <c r="AC67" s="245"/>
      <c r="AD67" s="242"/>
      <c r="AE67" s="242"/>
      <c r="AF67" s="245"/>
      <c r="AG67" s="240"/>
      <c r="AH67" s="248"/>
      <c r="AI67" s="248"/>
    </row>
    <row r="68" spans="1:35" ht="242.25">
      <c r="A68" s="237"/>
      <c r="B68" s="249"/>
      <c r="C68" s="239"/>
      <c r="D68" s="240"/>
      <c r="E68" s="250" t="s">
        <v>746</v>
      </c>
      <c r="F68" s="256" t="s">
        <v>752</v>
      </c>
      <c r="G68" s="264"/>
      <c r="H68" s="251" t="s">
        <v>753</v>
      </c>
      <c r="I68" s="251"/>
      <c r="J68" s="244" t="s">
        <v>686</v>
      </c>
      <c r="K68" s="270"/>
      <c r="L68" s="249" t="s">
        <v>690</v>
      </c>
      <c r="M68" s="251" t="s">
        <v>715</v>
      </c>
      <c r="N68" s="242"/>
      <c r="O68" s="249" t="s">
        <v>754</v>
      </c>
      <c r="P68" s="242"/>
      <c r="Q68" s="265" t="s">
        <v>750</v>
      </c>
      <c r="R68" s="265" t="s">
        <v>550</v>
      </c>
      <c r="S68" s="278"/>
      <c r="T68" s="249" t="s">
        <v>755</v>
      </c>
      <c r="U68" s="249" t="s">
        <v>702</v>
      </c>
      <c r="V68" s="249"/>
      <c r="W68" s="249"/>
      <c r="X68" s="253"/>
      <c r="Y68" s="254"/>
      <c r="Z68" s="255"/>
      <c r="AA68" s="256"/>
      <c r="AB68" s="257"/>
      <c r="AC68" s="256"/>
      <c r="AD68" s="255"/>
      <c r="AE68" s="257"/>
      <c r="AF68" s="256"/>
      <c r="AG68" s="253"/>
      <c r="AH68" s="258"/>
      <c r="AI68" s="258"/>
    </row>
    <row r="69" spans="1:35">
      <c r="A69" s="237">
        <v>27</v>
      </c>
      <c r="B69" s="238" t="s">
        <v>91</v>
      </c>
      <c r="C69" s="239" t="s">
        <v>745</v>
      </c>
      <c r="D69" s="240"/>
      <c r="E69" s="241">
        <v>108.13800000000001</v>
      </c>
      <c r="F69" s="242">
        <v>17000</v>
      </c>
      <c r="G69" s="243">
        <v>10</v>
      </c>
      <c r="H69" s="242">
        <v>5.6950000000000003</v>
      </c>
      <c r="I69" s="243" t="s">
        <v>550</v>
      </c>
      <c r="J69" s="245">
        <v>2.1499999999999998E-2</v>
      </c>
      <c r="K69" s="243">
        <v>10</v>
      </c>
      <c r="L69" s="245">
        <v>9.9999999999999995E-7</v>
      </c>
      <c r="M69" s="242">
        <v>1.97</v>
      </c>
      <c r="N69" s="242">
        <f t="shared" si="2"/>
        <v>93.325430079699174</v>
      </c>
      <c r="O69" s="242">
        <v>2.093685781</v>
      </c>
      <c r="P69" s="242">
        <f t="shared" si="3"/>
        <v>124.07542772084842</v>
      </c>
      <c r="Q69" s="238">
        <v>10.24</v>
      </c>
      <c r="R69" s="238">
        <v>1</v>
      </c>
      <c r="S69" s="280"/>
      <c r="T69" s="245">
        <v>0.05</v>
      </c>
      <c r="U69" s="245">
        <v>0.17</v>
      </c>
      <c r="V69" s="245"/>
      <c r="W69" s="245"/>
      <c r="X69" s="247"/>
      <c r="Y69" s="242"/>
      <c r="Z69" s="242"/>
      <c r="AA69" s="245"/>
      <c r="AB69" s="242"/>
      <c r="AC69" s="245"/>
      <c r="AD69" s="242"/>
      <c r="AE69" s="242"/>
      <c r="AF69" s="245"/>
      <c r="AG69" s="240"/>
      <c r="AH69" s="248"/>
      <c r="AI69" s="248"/>
    </row>
    <row r="70" spans="1:35" ht="242.25">
      <c r="A70" s="237"/>
      <c r="B70" s="249"/>
      <c r="C70" s="239"/>
      <c r="D70" s="240"/>
      <c r="E70" s="250" t="s">
        <v>746</v>
      </c>
      <c r="F70" s="249" t="s">
        <v>756</v>
      </c>
      <c r="G70" s="251"/>
      <c r="H70" s="249" t="s">
        <v>748</v>
      </c>
      <c r="I70" s="251"/>
      <c r="J70" s="244" t="s">
        <v>686</v>
      </c>
      <c r="K70" s="270"/>
      <c r="L70" s="249" t="s">
        <v>690</v>
      </c>
      <c r="M70" s="251" t="s">
        <v>715</v>
      </c>
      <c r="N70" s="242"/>
      <c r="O70" s="251" t="s">
        <v>757</v>
      </c>
      <c r="P70" s="242"/>
      <c r="Q70" s="265" t="s">
        <v>750</v>
      </c>
      <c r="R70" s="249"/>
      <c r="S70" s="281"/>
      <c r="T70" s="249" t="s">
        <v>702</v>
      </c>
      <c r="U70" s="249" t="s">
        <v>702</v>
      </c>
      <c r="V70" s="249"/>
      <c r="W70" s="249"/>
      <c r="X70" s="253"/>
      <c r="Y70" s="254"/>
      <c r="Z70" s="255"/>
      <c r="AA70" s="256"/>
      <c r="AB70" s="257"/>
      <c r="AC70" s="256"/>
      <c r="AD70" s="255"/>
      <c r="AE70" s="257"/>
      <c r="AF70" s="256"/>
      <c r="AG70" s="253"/>
      <c r="AH70" s="258"/>
      <c r="AI70" s="258"/>
    </row>
    <row r="71" spans="1:35">
      <c r="A71" s="237">
        <v>29</v>
      </c>
      <c r="B71" s="238" t="s">
        <v>92</v>
      </c>
      <c r="C71" s="239" t="s">
        <v>758</v>
      </c>
      <c r="D71" s="259"/>
      <c r="E71" s="241">
        <v>122.164</v>
      </c>
      <c r="F71" s="242">
        <v>7870</v>
      </c>
      <c r="G71" s="243">
        <v>25</v>
      </c>
      <c r="H71" s="242">
        <v>3.18</v>
      </c>
      <c r="I71" s="243">
        <v>10</v>
      </c>
      <c r="J71" s="245">
        <v>840</v>
      </c>
      <c r="K71" s="243">
        <v>10</v>
      </c>
      <c r="L71" s="245"/>
      <c r="M71" s="242">
        <v>2.35</v>
      </c>
      <c r="N71" s="242">
        <f t="shared" si="2"/>
        <v>223.87211385683412</v>
      </c>
      <c r="O71" s="242">
        <v>2.302</v>
      </c>
      <c r="P71" s="242">
        <f t="shared" si="3"/>
        <v>200.44720273651626</v>
      </c>
      <c r="Q71" s="238">
        <v>10.47</v>
      </c>
      <c r="R71" s="238">
        <v>1</v>
      </c>
      <c r="S71" s="280"/>
      <c r="T71" s="245">
        <v>0.02</v>
      </c>
      <c r="U71" s="238"/>
      <c r="V71" s="245"/>
      <c r="W71" s="245"/>
      <c r="X71" s="247"/>
      <c r="Y71" s="242"/>
      <c r="Z71" s="242"/>
      <c r="AA71" s="245"/>
      <c r="AB71" s="242"/>
      <c r="AC71" s="245"/>
      <c r="AD71" s="242"/>
      <c r="AE71" s="242"/>
      <c r="AF71" s="245"/>
      <c r="AG71" s="240"/>
      <c r="AH71" s="248"/>
      <c r="AI71" s="248"/>
    </row>
    <row r="72" spans="1:35" ht="165.75">
      <c r="A72" s="237"/>
      <c r="B72" s="249"/>
      <c r="C72" s="239"/>
      <c r="D72" s="240"/>
      <c r="E72" s="250" t="s">
        <v>712</v>
      </c>
      <c r="F72" s="249" t="s">
        <v>759</v>
      </c>
      <c r="G72" s="251"/>
      <c r="H72" s="251" t="s">
        <v>760</v>
      </c>
      <c r="I72" s="251"/>
      <c r="J72" s="244" t="s">
        <v>686</v>
      </c>
      <c r="K72" s="251"/>
      <c r="L72" s="249" t="s">
        <v>761</v>
      </c>
      <c r="M72" s="251" t="s">
        <v>715</v>
      </c>
      <c r="N72" s="242"/>
      <c r="O72" s="251" t="s">
        <v>757</v>
      </c>
      <c r="P72" s="242"/>
      <c r="Q72" s="265" t="s">
        <v>750</v>
      </c>
      <c r="R72" s="249"/>
      <c r="S72" s="278"/>
      <c r="T72" s="249" t="s">
        <v>762</v>
      </c>
      <c r="U72" s="249"/>
      <c r="V72" s="249"/>
      <c r="W72" s="249"/>
      <c r="X72" s="253"/>
      <c r="Y72" s="254"/>
      <c r="Z72" s="255"/>
      <c r="AA72" s="256"/>
      <c r="AB72" s="257"/>
      <c r="AC72" s="256"/>
      <c r="AD72" s="255"/>
      <c r="AE72" s="257"/>
      <c r="AF72" s="256"/>
      <c r="AG72" s="253"/>
      <c r="AH72" s="258"/>
      <c r="AI72" s="258"/>
    </row>
    <row r="73" spans="1:35">
      <c r="A73" s="237">
        <v>31</v>
      </c>
      <c r="B73" s="238" t="s">
        <v>94</v>
      </c>
      <c r="C73" s="239" t="s">
        <v>758</v>
      </c>
      <c r="D73" s="240"/>
      <c r="E73" s="241">
        <v>122.164</v>
      </c>
      <c r="F73" s="245">
        <v>6000</v>
      </c>
      <c r="G73" s="243">
        <v>25</v>
      </c>
      <c r="H73" s="245">
        <v>8.6579999999999995</v>
      </c>
      <c r="I73" s="243" t="s">
        <v>550</v>
      </c>
      <c r="J73" s="245">
        <v>0.68400000000000005</v>
      </c>
      <c r="K73" s="243">
        <v>25</v>
      </c>
      <c r="L73" s="245"/>
      <c r="M73" s="242">
        <v>2.36</v>
      </c>
      <c r="N73" s="242">
        <f t="shared" si="2"/>
        <v>229.08676527677744</v>
      </c>
      <c r="O73" s="238">
        <v>1.988</v>
      </c>
      <c r="P73" s="242">
        <f t="shared" si="3"/>
        <v>97.274722377696506</v>
      </c>
      <c r="Q73" s="238">
        <v>10.61</v>
      </c>
      <c r="R73" s="238">
        <v>1</v>
      </c>
      <c r="S73" s="277"/>
      <c r="T73" s="245">
        <v>5.9999999999999995E-4</v>
      </c>
      <c r="U73" s="238"/>
      <c r="V73" s="245"/>
      <c r="W73" s="245"/>
      <c r="X73" s="247"/>
      <c r="Y73" s="242"/>
      <c r="Z73" s="242"/>
      <c r="AA73" s="245"/>
      <c r="AB73" s="242"/>
      <c r="AC73" s="245"/>
      <c r="AD73" s="242"/>
      <c r="AE73" s="242"/>
      <c r="AF73" s="245"/>
      <c r="AG73" s="240"/>
      <c r="AH73" s="248"/>
      <c r="AI73" s="248"/>
    </row>
    <row r="74" spans="1:35" ht="102">
      <c r="A74" s="237"/>
      <c r="B74" s="249"/>
      <c r="C74" s="239"/>
      <c r="D74" s="240"/>
      <c r="E74" s="250" t="s">
        <v>712</v>
      </c>
      <c r="F74" s="249" t="s">
        <v>763</v>
      </c>
      <c r="G74" s="251"/>
      <c r="H74" s="249" t="s">
        <v>764</v>
      </c>
      <c r="I74" s="251"/>
      <c r="J74" s="244" t="s">
        <v>686</v>
      </c>
      <c r="K74" s="251"/>
      <c r="L74" s="249" t="s">
        <v>761</v>
      </c>
      <c r="M74" s="251" t="s">
        <v>715</v>
      </c>
      <c r="N74" s="242"/>
      <c r="O74" s="251" t="s">
        <v>765</v>
      </c>
      <c r="P74" s="242"/>
      <c r="Q74" s="265" t="s">
        <v>750</v>
      </c>
      <c r="R74" s="249"/>
      <c r="S74" s="278"/>
      <c r="T74" s="249" t="s">
        <v>762</v>
      </c>
      <c r="U74" s="249"/>
      <c r="V74" s="249"/>
      <c r="W74" s="249"/>
      <c r="X74" s="253"/>
      <c r="Y74" s="254"/>
      <c r="Z74" s="255"/>
      <c r="AA74" s="256"/>
      <c r="AB74" s="257"/>
      <c r="AC74" s="256"/>
      <c r="AD74" s="255"/>
      <c r="AE74" s="257"/>
      <c r="AF74" s="256"/>
      <c r="AG74" s="253"/>
      <c r="AH74" s="258"/>
      <c r="AI74" s="258"/>
    </row>
    <row r="75" spans="1:35">
      <c r="A75" s="237">
        <v>32</v>
      </c>
      <c r="B75" s="238" t="s">
        <v>95</v>
      </c>
      <c r="C75" s="239" t="s">
        <v>758</v>
      </c>
      <c r="D75" s="240"/>
      <c r="E75" s="241">
        <v>122.164</v>
      </c>
      <c r="F75" s="245">
        <v>4770</v>
      </c>
      <c r="G75" s="243">
        <v>25</v>
      </c>
      <c r="H75" s="245">
        <v>0.30299999999999999</v>
      </c>
      <c r="I75" s="243">
        <v>10</v>
      </c>
      <c r="J75" s="245">
        <v>2.7799999999999998E-2</v>
      </c>
      <c r="K75" s="243">
        <v>20</v>
      </c>
      <c r="L75" s="245"/>
      <c r="M75" s="242">
        <v>3.23</v>
      </c>
      <c r="N75" s="242">
        <f t="shared" si="2"/>
        <v>1698.2436524617447</v>
      </c>
      <c r="O75" s="238">
        <v>2.8479999999999999</v>
      </c>
      <c r="P75" s="242">
        <f t="shared" si="3"/>
        <v>704.69306896714738</v>
      </c>
      <c r="Q75" s="238">
        <v>10.36</v>
      </c>
      <c r="R75" s="238">
        <v>1</v>
      </c>
      <c r="S75" s="277"/>
      <c r="T75" s="245">
        <v>1E-3</v>
      </c>
      <c r="U75" s="238"/>
      <c r="V75" s="245"/>
      <c r="W75" s="245"/>
      <c r="X75" s="247"/>
      <c r="Y75" s="242"/>
      <c r="Z75" s="242"/>
      <c r="AA75" s="245"/>
      <c r="AB75" s="242"/>
      <c r="AC75" s="245"/>
      <c r="AD75" s="242"/>
      <c r="AE75" s="242"/>
      <c r="AF75" s="245"/>
      <c r="AG75" s="240"/>
      <c r="AH75" s="248"/>
      <c r="AI75" s="248"/>
    </row>
    <row r="76" spans="1:35" ht="114.75">
      <c r="A76" s="237"/>
      <c r="B76" s="249"/>
      <c r="C76" s="239"/>
      <c r="D76" s="240"/>
      <c r="E76" s="250" t="s">
        <v>712</v>
      </c>
      <c r="F76" s="249" t="s">
        <v>766</v>
      </c>
      <c r="G76" s="251"/>
      <c r="H76" s="251" t="s">
        <v>760</v>
      </c>
      <c r="I76" s="251"/>
      <c r="J76" s="244" t="s">
        <v>686</v>
      </c>
      <c r="K76" s="251"/>
      <c r="L76" s="249" t="s">
        <v>761</v>
      </c>
      <c r="M76" s="251" t="s">
        <v>715</v>
      </c>
      <c r="N76" s="242"/>
      <c r="O76" s="251" t="s">
        <v>765</v>
      </c>
      <c r="P76" s="242"/>
      <c r="Q76" s="265" t="s">
        <v>750</v>
      </c>
      <c r="R76" s="249"/>
      <c r="S76" s="278"/>
      <c r="T76" s="249" t="s">
        <v>762</v>
      </c>
      <c r="U76" s="249"/>
      <c r="V76" s="249"/>
      <c r="W76" s="249"/>
      <c r="X76" s="253"/>
      <c r="Y76" s="254"/>
      <c r="Z76" s="255"/>
      <c r="AA76" s="256"/>
      <c r="AB76" s="257"/>
      <c r="AC76" s="256"/>
      <c r="AD76" s="255"/>
      <c r="AE76" s="257"/>
      <c r="AF76" s="256"/>
      <c r="AG76" s="253"/>
      <c r="AH76" s="258"/>
      <c r="AI76" s="258"/>
    </row>
    <row r="77" spans="1:35" ht="15.75">
      <c r="A77" s="237">
        <v>33</v>
      </c>
      <c r="B77" s="238" t="s">
        <v>96</v>
      </c>
      <c r="C77" s="239" t="s">
        <v>767</v>
      </c>
      <c r="D77" s="240"/>
      <c r="E77" s="475">
        <v>128.55600000000001</v>
      </c>
      <c r="F77" s="473">
        <v>24007</v>
      </c>
      <c r="G77" s="486">
        <v>15.4</v>
      </c>
      <c r="H77" s="479">
        <v>125.1</v>
      </c>
      <c r="I77" s="477">
        <v>12</v>
      </c>
      <c r="J77" s="479">
        <v>0.66100000000000003</v>
      </c>
      <c r="K77" s="477">
        <v>20</v>
      </c>
      <c r="L77" s="479">
        <v>5.0000000000000001E-9</v>
      </c>
      <c r="M77" s="476">
        <v>2.0489999999999999</v>
      </c>
      <c r="N77" s="476">
        <f t="shared" si="2"/>
        <v>111.94378834671517</v>
      </c>
      <c r="O77" s="476">
        <v>2.0099999999999998</v>
      </c>
      <c r="P77" s="476">
        <f t="shared" si="3"/>
        <v>102.32929922807544</v>
      </c>
      <c r="Q77" s="474">
        <v>8.58</v>
      </c>
      <c r="R77" s="474">
        <v>1</v>
      </c>
      <c r="S77" s="277"/>
      <c r="T77" s="479">
        <v>5.0000000000000001E-3</v>
      </c>
      <c r="U77" s="474"/>
      <c r="V77" s="479"/>
      <c r="W77" s="479"/>
      <c r="X77" s="247"/>
      <c r="Y77" s="242"/>
      <c r="Z77" s="242"/>
      <c r="AA77" s="245"/>
      <c r="AB77" s="242"/>
      <c r="AC77" s="245"/>
      <c r="AD77" s="242"/>
      <c r="AE77" s="242"/>
      <c r="AF77" s="245"/>
      <c r="AG77" s="240"/>
      <c r="AH77" s="248"/>
      <c r="AI77" s="248"/>
    </row>
    <row r="78" spans="1:35" ht="242.25">
      <c r="A78" s="237"/>
      <c r="B78" s="249"/>
      <c r="C78" s="239"/>
      <c r="D78" s="240"/>
      <c r="E78" s="481" t="s">
        <v>712</v>
      </c>
      <c r="F78" s="480" t="s">
        <v>768</v>
      </c>
      <c r="G78" s="482"/>
      <c r="H78" s="480" t="s">
        <v>769</v>
      </c>
      <c r="I78" s="482"/>
      <c r="J78" s="478" t="s">
        <v>686</v>
      </c>
      <c r="K78" s="482"/>
      <c r="L78" s="482" t="s">
        <v>690</v>
      </c>
      <c r="M78" s="482" t="s">
        <v>770</v>
      </c>
      <c r="N78" s="476"/>
      <c r="O78" s="482" t="s">
        <v>757</v>
      </c>
      <c r="P78" s="476"/>
      <c r="Q78" s="489" t="s">
        <v>750</v>
      </c>
      <c r="R78" s="480"/>
      <c r="S78" s="277"/>
      <c r="T78" s="480" t="s">
        <v>762</v>
      </c>
      <c r="U78" s="480"/>
      <c r="V78" s="480"/>
      <c r="W78" s="480"/>
      <c r="X78" s="253"/>
      <c r="Y78" s="254"/>
      <c r="Z78" s="255"/>
      <c r="AA78" s="256"/>
      <c r="AB78" s="257"/>
      <c r="AC78" s="256"/>
      <c r="AD78" s="255"/>
      <c r="AE78" s="257"/>
      <c r="AF78" s="256"/>
      <c r="AG78" s="253"/>
      <c r="AH78" s="258"/>
      <c r="AI78" s="258"/>
    </row>
    <row r="79" spans="1:35" ht="15.75">
      <c r="A79" s="237">
        <v>36</v>
      </c>
      <c r="B79" s="238" t="s">
        <v>99</v>
      </c>
      <c r="C79" s="239" t="s">
        <v>771</v>
      </c>
      <c r="D79" s="240"/>
      <c r="E79" s="475">
        <v>163.001</v>
      </c>
      <c r="F79" s="476">
        <v>3896</v>
      </c>
      <c r="G79" s="477">
        <v>15.3</v>
      </c>
      <c r="H79" s="476">
        <v>11.87</v>
      </c>
      <c r="I79" s="477">
        <v>25</v>
      </c>
      <c r="J79" s="479">
        <v>0.29199999999999998</v>
      </c>
      <c r="K79" s="477">
        <v>20</v>
      </c>
      <c r="L79" s="479">
        <v>9.9999999999999995E-8</v>
      </c>
      <c r="M79" s="476">
        <v>3.23</v>
      </c>
      <c r="N79" s="476">
        <f t="shared" si="2"/>
        <v>1698.2436524617447</v>
      </c>
      <c r="O79" s="476">
        <v>2.5513156010000002</v>
      </c>
      <c r="P79" s="476">
        <f t="shared" si="3"/>
        <v>355.88984911855306</v>
      </c>
      <c r="Q79" s="474">
        <v>7.93</v>
      </c>
      <c r="R79" s="474">
        <v>1</v>
      </c>
      <c r="S79" s="277"/>
      <c r="T79" s="479">
        <v>3.0000000000000001E-3</v>
      </c>
      <c r="U79" s="474"/>
      <c r="V79" s="479"/>
      <c r="W79" s="479"/>
      <c r="X79" s="247"/>
      <c r="Y79" s="242"/>
      <c r="Z79" s="242"/>
      <c r="AA79" s="245"/>
      <c r="AB79" s="242"/>
      <c r="AC79" s="245"/>
      <c r="AD79" s="242"/>
      <c r="AE79" s="242"/>
      <c r="AF79" s="245"/>
      <c r="AG79" s="240"/>
      <c r="AH79" s="248"/>
      <c r="AI79" s="248"/>
    </row>
    <row r="80" spans="1:35" ht="242.25">
      <c r="A80" s="237"/>
      <c r="B80" s="249"/>
      <c r="C80" s="239"/>
      <c r="D80" s="240"/>
      <c r="E80" s="481" t="s">
        <v>772</v>
      </c>
      <c r="F80" s="482" t="s">
        <v>773</v>
      </c>
      <c r="G80" s="482"/>
      <c r="H80" s="482" t="s">
        <v>774</v>
      </c>
      <c r="I80" s="482"/>
      <c r="J80" s="478" t="s">
        <v>686</v>
      </c>
      <c r="K80" s="482"/>
      <c r="L80" s="480" t="s">
        <v>690</v>
      </c>
      <c r="M80" s="482" t="s">
        <v>715</v>
      </c>
      <c r="N80" s="476"/>
      <c r="O80" s="482" t="s">
        <v>775</v>
      </c>
      <c r="P80" s="476"/>
      <c r="Q80" s="489" t="s">
        <v>750</v>
      </c>
      <c r="R80" s="480"/>
      <c r="S80" s="278"/>
      <c r="T80" s="480" t="s">
        <v>762</v>
      </c>
      <c r="U80" s="480"/>
      <c r="V80" s="480"/>
      <c r="W80" s="480"/>
      <c r="X80" s="253"/>
      <c r="Y80" s="254"/>
      <c r="Z80" s="255"/>
      <c r="AA80" s="256"/>
      <c r="AB80" s="257"/>
      <c r="AC80" s="256"/>
      <c r="AD80" s="255"/>
      <c r="AE80" s="257"/>
      <c r="AF80" s="256"/>
      <c r="AG80" s="253"/>
      <c r="AH80" s="258"/>
      <c r="AI80" s="258"/>
    </row>
    <row r="81" spans="1:35" ht="15.75">
      <c r="A81" s="237">
        <v>42</v>
      </c>
      <c r="B81" s="235" t="s">
        <v>105</v>
      </c>
      <c r="C81" s="29" t="s">
        <v>776</v>
      </c>
      <c r="D81" s="259"/>
      <c r="E81" s="490">
        <v>197.446</v>
      </c>
      <c r="F81" s="473">
        <v>1000</v>
      </c>
      <c r="G81" s="486">
        <v>20</v>
      </c>
      <c r="H81" s="491">
        <v>7.64</v>
      </c>
      <c r="I81" s="486">
        <v>25</v>
      </c>
      <c r="J81" s="491">
        <v>0.52100000000000002</v>
      </c>
      <c r="K81" s="486">
        <v>25</v>
      </c>
      <c r="L81" s="491">
        <v>4.9999999999999998E-7</v>
      </c>
      <c r="M81" s="485">
        <v>3.7120000000000002</v>
      </c>
      <c r="N81" s="476">
        <f t="shared" si="2"/>
        <v>5152.2864458175727</v>
      </c>
      <c r="O81" s="485">
        <v>3.11</v>
      </c>
      <c r="P81" s="476">
        <f t="shared" si="3"/>
        <v>1288.2495516931347</v>
      </c>
      <c r="Q81" s="474">
        <v>6.98</v>
      </c>
      <c r="R81" s="474">
        <v>1</v>
      </c>
      <c r="S81" s="280"/>
      <c r="T81" s="491">
        <v>0.1</v>
      </c>
      <c r="U81" s="473"/>
      <c r="V81" s="474"/>
      <c r="W81" s="474"/>
      <c r="X81" s="240"/>
      <c r="Y81" s="242"/>
      <c r="Z81" s="242"/>
      <c r="AA81" s="245"/>
      <c r="AB81" s="242"/>
      <c r="AC81" s="245"/>
      <c r="AD81" s="242"/>
      <c r="AE81" s="242"/>
      <c r="AF81" s="245"/>
      <c r="AG81" s="240"/>
      <c r="AH81" s="248"/>
      <c r="AI81" s="248"/>
    </row>
    <row r="82" spans="1:35" ht="242.25">
      <c r="A82" s="237"/>
      <c r="B82" s="283"/>
      <c r="C82" s="272"/>
      <c r="D82" s="259"/>
      <c r="E82" s="492" t="s">
        <v>712</v>
      </c>
      <c r="F82" s="493" t="s">
        <v>777</v>
      </c>
      <c r="G82" s="494"/>
      <c r="H82" s="480" t="s">
        <v>778</v>
      </c>
      <c r="I82" s="482"/>
      <c r="J82" s="495" t="s">
        <v>779</v>
      </c>
      <c r="K82" s="482"/>
      <c r="L82" s="483" t="s">
        <v>690</v>
      </c>
      <c r="M82" s="482" t="s">
        <v>780</v>
      </c>
      <c r="N82" s="476"/>
      <c r="O82" s="480" t="s">
        <v>781</v>
      </c>
      <c r="P82" s="476"/>
      <c r="Q82" s="489" t="s">
        <v>750</v>
      </c>
      <c r="R82" s="489" t="s">
        <v>550</v>
      </c>
      <c r="S82" s="286"/>
      <c r="T82" s="483" t="s">
        <v>782</v>
      </c>
      <c r="U82" s="483"/>
      <c r="V82" s="493"/>
      <c r="W82" s="493"/>
      <c r="X82" s="287"/>
      <c r="Y82" s="254"/>
      <c r="Z82" s="255"/>
      <c r="AA82" s="256"/>
      <c r="AB82" s="257"/>
      <c r="AC82" s="256"/>
      <c r="AD82" s="255"/>
      <c r="AE82" s="257"/>
      <c r="AF82" s="256"/>
      <c r="AG82" s="253"/>
      <c r="AH82" s="258"/>
      <c r="AI82" s="258"/>
    </row>
    <row r="83" spans="1:35" ht="15.75">
      <c r="A83" s="237">
        <v>43</v>
      </c>
      <c r="B83" s="238" t="s">
        <v>106</v>
      </c>
      <c r="C83" s="29" t="s">
        <v>776</v>
      </c>
      <c r="D83" s="259"/>
      <c r="E83" s="475">
        <v>197.446</v>
      </c>
      <c r="F83" s="473">
        <v>410</v>
      </c>
      <c r="G83" s="486">
        <v>19.5</v>
      </c>
      <c r="H83" s="476">
        <v>1.3</v>
      </c>
      <c r="I83" s="477">
        <v>20</v>
      </c>
      <c r="J83" s="479">
        <v>0.42799999999999999</v>
      </c>
      <c r="K83" s="477">
        <v>20</v>
      </c>
      <c r="L83" s="479">
        <v>4.9999999999999998E-7</v>
      </c>
      <c r="M83" s="476">
        <v>3.5779365940000001</v>
      </c>
      <c r="N83" s="476">
        <f t="shared" si="2"/>
        <v>3783.8733699932318</v>
      </c>
      <c r="O83" s="476">
        <v>2.739496205</v>
      </c>
      <c r="P83" s="476">
        <f t="shared" si="3"/>
        <v>548.90375909464649</v>
      </c>
      <c r="Q83" s="474">
        <v>6.12</v>
      </c>
      <c r="R83" s="474">
        <v>1</v>
      </c>
      <c r="S83" s="280"/>
      <c r="T83" s="473"/>
      <c r="U83" s="473"/>
      <c r="V83" s="474">
        <f>0.00001/0.07</f>
        <v>1.4285714285714287E-4</v>
      </c>
      <c r="W83" s="474">
        <f>(0.00001/0.00002)*0.001</f>
        <v>5.0000000000000001E-4</v>
      </c>
      <c r="X83" s="240"/>
      <c r="Y83" s="242"/>
      <c r="Z83" s="242"/>
      <c r="AA83" s="245"/>
      <c r="AB83" s="242"/>
      <c r="AC83" s="245"/>
      <c r="AD83" s="242"/>
      <c r="AE83" s="242"/>
      <c r="AF83" s="245"/>
      <c r="AG83" s="240"/>
      <c r="AH83" s="248"/>
      <c r="AI83" s="248"/>
    </row>
    <row r="84" spans="1:35" ht="242.25">
      <c r="A84" s="237"/>
      <c r="B84" s="249"/>
      <c r="C84" s="239"/>
      <c r="D84" s="240"/>
      <c r="E84" s="481" t="s">
        <v>783</v>
      </c>
      <c r="F84" s="482" t="s">
        <v>784</v>
      </c>
      <c r="G84" s="482"/>
      <c r="H84" s="480" t="s">
        <v>785</v>
      </c>
      <c r="I84" s="482"/>
      <c r="J84" s="478" t="s">
        <v>686</v>
      </c>
      <c r="K84" s="482"/>
      <c r="L84" s="482" t="s">
        <v>690</v>
      </c>
      <c r="M84" s="482" t="s">
        <v>780</v>
      </c>
      <c r="N84" s="476"/>
      <c r="O84" s="480" t="s">
        <v>781</v>
      </c>
      <c r="P84" s="476"/>
      <c r="Q84" s="489" t="s">
        <v>750</v>
      </c>
      <c r="R84" s="480"/>
      <c r="S84" s="280"/>
      <c r="T84" s="484"/>
      <c r="U84" s="484"/>
      <c r="V84" s="480" t="s">
        <v>786</v>
      </c>
      <c r="W84" s="480" t="s">
        <v>787</v>
      </c>
      <c r="X84" s="253"/>
      <c r="Y84" s="254"/>
      <c r="Z84" s="255"/>
      <c r="AA84" s="256"/>
      <c r="AB84" s="257"/>
      <c r="AC84" s="256"/>
      <c r="AD84" s="255"/>
      <c r="AE84" s="257"/>
      <c r="AF84" s="256"/>
      <c r="AG84" s="253"/>
      <c r="AH84" s="258"/>
      <c r="AI84" s="258"/>
    </row>
    <row r="85" spans="1:35">
      <c r="A85" s="237">
        <v>46</v>
      </c>
      <c r="B85" s="288" t="s">
        <v>109</v>
      </c>
      <c r="C85" s="239" t="s">
        <v>788</v>
      </c>
      <c r="D85" s="240"/>
      <c r="E85" s="475">
        <v>231.89099999999999</v>
      </c>
      <c r="F85" s="479">
        <v>170</v>
      </c>
      <c r="G85" s="477">
        <v>25</v>
      </c>
      <c r="H85" s="491">
        <v>0.81</v>
      </c>
      <c r="I85" s="486">
        <v>25</v>
      </c>
      <c r="J85" s="491">
        <v>0.3548</v>
      </c>
      <c r="K85" s="486">
        <v>25</v>
      </c>
      <c r="L85" s="491">
        <v>9.9999999999999995E-7</v>
      </c>
      <c r="M85" s="473">
        <v>4.3338000000000001</v>
      </c>
      <c r="N85" s="476">
        <f t="shared" si="2"/>
        <v>21567.509598981676</v>
      </c>
      <c r="O85" s="473">
        <v>3.2450000000000001</v>
      </c>
      <c r="P85" s="476">
        <f t="shared" si="3"/>
        <v>1757.9236139586944</v>
      </c>
      <c r="Q85" s="473">
        <v>5.4</v>
      </c>
      <c r="R85" s="473">
        <v>1</v>
      </c>
      <c r="S85" s="280"/>
      <c r="T85" s="491">
        <v>0.01</v>
      </c>
      <c r="U85" s="473"/>
      <c r="V85" s="474"/>
      <c r="W85" s="474"/>
      <c r="X85" s="240"/>
      <c r="Y85" s="242"/>
      <c r="Z85" s="242"/>
      <c r="AA85" s="245"/>
      <c r="AB85" s="242"/>
      <c r="AC85" s="245"/>
      <c r="AD85" s="242"/>
      <c r="AE85" s="242"/>
      <c r="AF85" s="245"/>
      <c r="AG85" s="240"/>
      <c r="AH85" s="248"/>
      <c r="AI85" s="248"/>
    </row>
    <row r="86" spans="1:35" ht="242.25">
      <c r="A86" s="237"/>
      <c r="B86" s="249"/>
      <c r="C86" s="239"/>
      <c r="D86" s="240"/>
      <c r="E86" s="481" t="s">
        <v>783</v>
      </c>
      <c r="F86" s="480" t="s">
        <v>789</v>
      </c>
      <c r="G86" s="482"/>
      <c r="H86" s="480" t="s">
        <v>790</v>
      </c>
      <c r="I86" s="482"/>
      <c r="J86" s="478" t="s">
        <v>686</v>
      </c>
      <c r="K86" s="482"/>
      <c r="L86" s="483" t="s">
        <v>690</v>
      </c>
      <c r="M86" s="482" t="s">
        <v>791</v>
      </c>
      <c r="N86" s="476"/>
      <c r="O86" s="480" t="s">
        <v>781</v>
      </c>
      <c r="P86" s="476"/>
      <c r="Q86" s="489" t="s">
        <v>750</v>
      </c>
      <c r="R86" s="484" t="s">
        <v>550</v>
      </c>
      <c r="S86" s="281"/>
      <c r="T86" s="484" t="s">
        <v>792</v>
      </c>
      <c r="U86" s="484"/>
      <c r="V86" s="480"/>
      <c r="W86" s="480"/>
      <c r="X86" s="253"/>
      <c r="Y86" s="254"/>
      <c r="Z86" s="255"/>
      <c r="AA86" s="256"/>
      <c r="AB86" s="257"/>
      <c r="AC86" s="256"/>
      <c r="AD86" s="255"/>
      <c r="AE86" s="257"/>
      <c r="AF86" s="256"/>
      <c r="AG86" s="253"/>
      <c r="AH86" s="258"/>
      <c r="AI86" s="258"/>
    </row>
    <row r="87" spans="1:35">
      <c r="A87" s="237">
        <v>48</v>
      </c>
      <c r="B87" s="288" t="s">
        <v>68</v>
      </c>
      <c r="C87" s="239" t="s">
        <v>795</v>
      </c>
      <c r="D87" s="240"/>
      <c r="E87" s="241">
        <v>64.513999999999996</v>
      </c>
      <c r="F87" s="245">
        <v>5742</v>
      </c>
      <c r="G87" s="243">
        <v>10</v>
      </c>
      <c r="H87" s="276">
        <v>96326.530612244896</v>
      </c>
      <c r="I87" s="261" t="s">
        <v>550</v>
      </c>
      <c r="J87" s="276">
        <v>769</v>
      </c>
      <c r="K87" s="261">
        <v>10</v>
      </c>
      <c r="L87" s="276"/>
      <c r="M87" s="235">
        <v>1.43</v>
      </c>
      <c r="N87" s="242">
        <f>10^M87</f>
        <v>26.915348039269158</v>
      </c>
      <c r="O87" s="235">
        <v>1.4</v>
      </c>
      <c r="P87" s="242">
        <f>10^O87</f>
        <v>25.118864315095799</v>
      </c>
      <c r="Q87" s="235" t="s">
        <v>550</v>
      </c>
      <c r="R87" s="235" t="s">
        <v>550</v>
      </c>
      <c r="S87" s="280"/>
      <c r="T87" s="276"/>
      <c r="U87" s="235">
        <v>10</v>
      </c>
      <c r="V87" s="238"/>
      <c r="W87" s="238"/>
      <c r="X87" s="240"/>
      <c r="Y87" s="242"/>
      <c r="Z87" s="242"/>
      <c r="AA87" s="242"/>
      <c r="AB87" s="242"/>
      <c r="AC87" s="245"/>
      <c r="AD87" s="242"/>
      <c r="AE87" s="242"/>
      <c r="AF87" s="242"/>
      <c r="AG87" s="240"/>
      <c r="AH87" s="248"/>
      <c r="AI87" s="248"/>
    </row>
    <row r="88" spans="1:35" ht="242.25">
      <c r="A88" s="237"/>
      <c r="B88" s="249"/>
      <c r="C88" s="239"/>
      <c r="D88" s="240"/>
      <c r="E88" s="250" t="s">
        <v>794</v>
      </c>
      <c r="F88" s="249" t="s">
        <v>796</v>
      </c>
      <c r="G88" s="251"/>
      <c r="H88" s="249" t="s">
        <v>794</v>
      </c>
      <c r="I88" s="251"/>
      <c r="J88" s="244" t="s">
        <v>686</v>
      </c>
      <c r="K88" s="251"/>
      <c r="L88" s="254" t="s">
        <v>690</v>
      </c>
      <c r="M88" s="251" t="s">
        <v>715</v>
      </c>
      <c r="N88" s="242"/>
      <c r="O88" s="254" t="s">
        <v>797</v>
      </c>
      <c r="P88" s="242"/>
      <c r="Q88" s="257" t="s">
        <v>550</v>
      </c>
      <c r="R88" s="256" t="s">
        <v>550</v>
      </c>
      <c r="S88" s="281"/>
      <c r="T88" s="256"/>
      <c r="U88" s="256" t="s">
        <v>798</v>
      </c>
      <c r="V88" s="249"/>
      <c r="W88" s="249"/>
      <c r="X88" s="253"/>
      <c r="Y88" s="255" t="s">
        <v>550</v>
      </c>
      <c r="Z88" s="255" t="s">
        <v>550</v>
      </c>
      <c r="AA88" s="257" t="s">
        <v>550</v>
      </c>
      <c r="AB88" s="257" t="s">
        <v>550</v>
      </c>
      <c r="AC88" s="257" t="s">
        <v>550</v>
      </c>
      <c r="AD88" s="255" t="s">
        <v>550</v>
      </c>
      <c r="AE88" s="257" t="s">
        <v>550</v>
      </c>
      <c r="AF88" s="255" t="s">
        <v>550</v>
      </c>
      <c r="AG88" s="253"/>
      <c r="AH88" s="258" t="s">
        <v>550</v>
      </c>
      <c r="AI88" s="258" t="s">
        <v>550</v>
      </c>
    </row>
    <row r="89" spans="1:35">
      <c r="A89" s="237">
        <v>49</v>
      </c>
      <c r="B89" s="288" t="s">
        <v>70</v>
      </c>
      <c r="C89" s="239" t="s">
        <v>799</v>
      </c>
      <c r="D89" s="240"/>
      <c r="E89" s="241">
        <v>120.191</v>
      </c>
      <c r="F89" s="245">
        <v>60</v>
      </c>
      <c r="G89" s="243">
        <v>15</v>
      </c>
      <c r="H89" s="276">
        <v>247.48387096774192</v>
      </c>
      <c r="I89" s="261" t="s">
        <v>550</v>
      </c>
      <c r="J89" s="276">
        <v>902</v>
      </c>
      <c r="K89" s="261">
        <v>20</v>
      </c>
      <c r="L89" s="276"/>
      <c r="M89" s="235">
        <v>3.66</v>
      </c>
      <c r="N89" s="242">
        <f>10^M89</f>
        <v>4570.8818961487532</v>
      </c>
      <c r="O89" s="235">
        <v>3.27</v>
      </c>
      <c r="P89" s="242">
        <f>10^O89</f>
        <v>1862.0871366628687</v>
      </c>
      <c r="Q89" s="235" t="s">
        <v>550</v>
      </c>
      <c r="R89" s="235" t="s">
        <v>550</v>
      </c>
      <c r="S89" s="280"/>
      <c r="T89" s="238">
        <v>0.1</v>
      </c>
      <c r="U89" s="238">
        <v>0.4</v>
      </c>
      <c r="V89" s="238"/>
      <c r="W89" s="238"/>
      <c r="X89" s="240"/>
      <c r="Y89" s="242"/>
      <c r="Z89" s="242"/>
      <c r="AA89" s="242"/>
      <c r="AB89" s="242"/>
      <c r="AC89" s="245"/>
      <c r="AD89" s="242"/>
      <c r="AE89" s="242"/>
      <c r="AF89" s="242"/>
      <c r="AG89" s="240"/>
      <c r="AH89" s="248"/>
      <c r="AI89" s="248"/>
    </row>
    <row r="90" spans="1:35" ht="129.75" customHeight="1">
      <c r="A90" s="237"/>
      <c r="B90" s="249"/>
      <c r="C90" s="239"/>
      <c r="D90" s="240"/>
      <c r="E90" s="250" t="s">
        <v>794</v>
      </c>
      <c r="F90" s="249" t="s">
        <v>800</v>
      </c>
      <c r="G90" s="251"/>
      <c r="H90" s="251" t="s">
        <v>801</v>
      </c>
      <c r="I90" s="251"/>
      <c r="J90" s="244" t="s">
        <v>686</v>
      </c>
      <c r="K90" s="251"/>
      <c r="L90" s="254"/>
      <c r="M90" s="251" t="s">
        <v>802</v>
      </c>
      <c r="N90" s="242"/>
      <c r="O90" s="256" t="s">
        <v>803</v>
      </c>
      <c r="P90" s="242"/>
      <c r="Q90" s="257" t="s">
        <v>550</v>
      </c>
      <c r="R90" s="256" t="s">
        <v>550</v>
      </c>
      <c r="S90" s="281"/>
      <c r="T90" s="256" t="s">
        <v>798</v>
      </c>
      <c r="U90" s="256" t="s">
        <v>798</v>
      </c>
      <c r="V90" s="249"/>
      <c r="W90" s="249"/>
      <c r="X90" s="253"/>
      <c r="Y90" s="255" t="s">
        <v>550</v>
      </c>
      <c r="Z90" s="255" t="s">
        <v>550</v>
      </c>
      <c r="AA90" s="257" t="s">
        <v>550</v>
      </c>
      <c r="AB90" s="257" t="s">
        <v>550</v>
      </c>
      <c r="AC90" s="257" t="s">
        <v>550</v>
      </c>
      <c r="AD90" s="255" t="s">
        <v>550</v>
      </c>
      <c r="AE90" s="257" t="s">
        <v>550</v>
      </c>
      <c r="AF90" s="255" t="s">
        <v>550</v>
      </c>
      <c r="AG90" s="253"/>
      <c r="AH90" s="258" t="s">
        <v>550</v>
      </c>
      <c r="AI90" s="258" t="s">
        <v>550</v>
      </c>
    </row>
    <row r="91" spans="1:35">
      <c r="A91" s="237">
        <v>50</v>
      </c>
      <c r="B91" s="288" t="s">
        <v>186</v>
      </c>
      <c r="C91" s="239" t="s">
        <v>804</v>
      </c>
      <c r="D91" s="240"/>
      <c r="E91" s="241">
        <v>142.197</v>
      </c>
      <c r="F91" s="235">
        <v>22.75</v>
      </c>
      <c r="G91" s="261" t="s">
        <v>550</v>
      </c>
      <c r="H91" s="235">
        <v>2.5190000000000001</v>
      </c>
      <c r="I91" s="261">
        <v>10</v>
      </c>
      <c r="J91" s="276">
        <v>24.3</v>
      </c>
      <c r="K91" s="261">
        <v>25</v>
      </c>
      <c r="L91" s="276"/>
      <c r="M91" s="235">
        <v>3.87</v>
      </c>
      <c r="N91" s="242">
        <f>10^M91</f>
        <v>7413.1024130091773</v>
      </c>
      <c r="O91" s="235">
        <v>3.06</v>
      </c>
      <c r="P91" s="242">
        <f>10^O91</f>
        <v>1148.1536214968839</v>
      </c>
      <c r="Q91" s="235" t="s">
        <v>550</v>
      </c>
      <c r="R91" s="235" t="s">
        <v>550</v>
      </c>
      <c r="S91" s="280"/>
      <c r="T91" s="238">
        <v>7.0000000000000007E-2</v>
      </c>
      <c r="U91" s="238"/>
      <c r="V91" s="238"/>
      <c r="W91" s="238"/>
      <c r="X91" s="240"/>
      <c r="Y91" s="242"/>
      <c r="Z91" s="242"/>
      <c r="AA91" s="242"/>
      <c r="AB91" s="242"/>
      <c r="AC91" s="245"/>
      <c r="AD91" s="242"/>
      <c r="AE91" s="242"/>
      <c r="AF91" s="242"/>
      <c r="AG91" s="240"/>
      <c r="AH91" s="248"/>
      <c r="AI91" s="248"/>
    </row>
    <row r="92" spans="1:35" ht="114.75">
      <c r="A92" s="237"/>
      <c r="B92" s="249"/>
      <c r="C92" s="239"/>
      <c r="D92" s="240"/>
      <c r="E92" s="250" t="s">
        <v>794</v>
      </c>
      <c r="F92" s="254" t="s">
        <v>805</v>
      </c>
      <c r="G92" s="289"/>
      <c r="H92" s="254" t="s">
        <v>806</v>
      </c>
      <c r="I92" s="289"/>
      <c r="J92" s="244" t="s">
        <v>686</v>
      </c>
      <c r="K92" s="251"/>
      <c r="L92" s="256"/>
      <c r="M92" s="249" t="s">
        <v>794</v>
      </c>
      <c r="N92" s="242"/>
      <c r="O92" s="254" t="s">
        <v>807</v>
      </c>
      <c r="P92" s="242"/>
      <c r="Q92" s="255" t="s">
        <v>550</v>
      </c>
      <c r="R92" s="254" t="s">
        <v>550</v>
      </c>
      <c r="S92" s="280"/>
      <c r="T92" s="256" t="s">
        <v>808</v>
      </c>
      <c r="U92" s="256"/>
      <c r="V92" s="238"/>
      <c r="W92" s="249"/>
      <c r="X92" s="253"/>
      <c r="Y92" s="255" t="s">
        <v>550</v>
      </c>
      <c r="Z92" s="255" t="s">
        <v>550</v>
      </c>
      <c r="AA92" s="257" t="s">
        <v>550</v>
      </c>
      <c r="AB92" s="257" t="s">
        <v>550</v>
      </c>
      <c r="AC92" s="257" t="s">
        <v>550</v>
      </c>
      <c r="AD92" s="255" t="s">
        <v>550</v>
      </c>
      <c r="AE92" s="257" t="s">
        <v>550</v>
      </c>
      <c r="AF92" s="255" t="s">
        <v>550</v>
      </c>
      <c r="AG92" s="253"/>
      <c r="AH92" s="258" t="s">
        <v>550</v>
      </c>
      <c r="AI92" s="258" t="s">
        <v>550</v>
      </c>
    </row>
    <row r="93" spans="1:35">
      <c r="A93" s="237">
        <v>51</v>
      </c>
      <c r="B93" s="238" t="s">
        <v>188</v>
      </c>
      <c r="C93" s="239" t="s">
        <v>804</v>
      </c>
      <c r="D93" s="240"/>
      <c r="E93" s="241">
        <v>142.197</v>
      </c>
      <c r="F93" s="245">
        <v>25</v>
      </c>
      <c r="G93" s="243">
        <v>25</v>
      </c>
      <c r="H93" s="245">
        <v>5.6</v>
      </c>
      <c r="I93" s="243">
        <v>20</v>
      </c>
      <c r="J93" s="245">
        <v>32.229999999999997</v>
      </c>
      <c r="K93" s="243">
        <v>25</v>
      </c>
      <c r="L93" s="245"/>
      <c r="M93" s="242">
        <v>4</v>
      </c>
      <c r="N93" s="242">
        <f>10^M93</f>
        <v>10000</v>
      </c>
      <c r="O93" s="235">
        <v>3.68</v>
      </c>
      <c r="P93" s="242">
        <f>10^O93</f>
        <v>4786.3009232263848</v>
      </c>
      <c r="Q93" s="238" t="s">
        <v>550</v>
      </c>
      <c r="R93" s="238" t="s">
        <v>550</v>
      </c>
      <c r="S93" s="280"/>
      <c r="T93" s="245">
        <v>4.0000000000000001E-3</v>
      </c>
      <c r="U93" s="245"/>
      <c r="V93" s="245"/>
      <c r="W93" s="245"/>
      <c r="X93" s="247"/>
      <c r="Y93" s="242"/>
      <c r="Z93" s="242"/>
      <c r="AA93" s="242"/>
      <c r="AB93" s="242"/>
      <c r="AC93" s="245"/>
      <c r="AD93" s="242"/>
      <c r="AE93" s="242"/>
      <c r="AF93" s="245"/>
      <c r="AG93" s="240"/>
      <c r="AH93" s="248"/>
      <c r="AI93" s="248"/>
    </row>
    <row r="94" spans="1:35" ht="127.5">
      <c r="A94" s="237"/>
      <c r="B94" s="249"/>
      <c r="C94" s="239"/>
      <c r="D94" s="240"/>
      <c r="E94" s="250" t="s">
        <v>794</v>
      </c>
      <c r="F94" s="249" t="s">
        <v>809</v>
      </c>
      <c r="G94" s="251"/>
      <c r="H94" s="254" t="s">
        <v>810</v>
      </c>
      <c r="I94" s="289"/>
      <c r="J94" s="244" t="s">
        <v>686</v>
      </c>
      <c r="K94" s="251"/>
      <c r="L94" s="251"/>
      <c r="M94" s="249" t="s">
        <v>794</v>
      </c>
      <c r="N94" s="242"/>
      <c r="O94" s="254" t="s">
        <v>811</v>
      </c>
      <c r="P94" s="242"/>
      <c r="Q94" s="249" t="s">
        <v>812</v>
      </c>
      <c r="R94" s="249" t="s">
        <v>812</v>
      </c>
      <c r="S94" s="280"/>
      <c r="T94" s="249" t="s">
        <v>813</v>
      </c>
      <c r="U94" s="249"/>
      <c r="V94" s="249"/>
      <c r="W94" s="249"/>
      <c r="X94" s="253"/>
      <c r="Y94" s="254"/>
      <c r="Z94" s="255"/>
      <c r="AA94" s="256"/>
      <c r="AB94" s="257" t="s">
        <v>550</v>
      </c>
      <c r="AC94" s="256"/>
      <c r="AD94" s="255"/>
      <c r="AE94" s="257"/>
      <c r="AF94" s="256"/>
      <c r="AG94" s="253"/>
      <c r="AH94" s="258" t="s">
        <v>550</v>
      </c>
      <c r="AI94" s="258" t="s">
        <v>550</v>
      </c>
    </row>
    <row r="95" spans="1:35">
      <c r="A95" s="237">
        <v>52</v>
      </c>
      <c r="B95" s="238" t="s">
        <v>75</v>
      </c>
      <c r="C95" s="239" t="s">
        <v>814</v>
      </c>
      <c r="D95" s="240"/>
      <c r="E95" s="241">
        <v>96.942999999999998</v>
      </c>
      <c r="F95" s="245">
        <v>2420</v>
      </c>
      <c r="G95" s="243">
        <v>25</v>
      </c>
      <c r="H95" s="245">
        <v>39537</v>
      </c>
      <c r="I95" s="243">
        <v>10</v>
      </c>
      <c r="J95" s="245">
        <v>1560</v>
      </c>
      <c r="K95" s="243">
        <v>10</v>
      </c>
      <c r="L95" s="245"/>
      <c r="M95" s="242">
        <v>2.13</v>
      </c>
      <c r="N95" s="242">
        <f>10^M95</f>
        <v>134.89628825916537</v>
      </c>
      <c r="O95" s="242">
        <v>2.1760000000000002</v>
      </c>
      <c r="P95" s="242">
        <f>10^O95</f>
        <v>149.96848355023752</v>
      </c>
      <c r="Q95" s="238" t="s">
        <v>550</v>
      </c>
      <c r="R95" s="238" t="s">
        <v>550</v>
      </c>
      <c r="S95" s="280"/>
      <c r="T95" s="245">
        <v>3.0000000000000001E-3</v>
      </c>
      <c r="U95" s="245">
        <v>7.0000000000000001E-3</v>
      </c>
      <c r="V95" s="238"/>
      <c r="W95" s="238"/>
      <c r="X95" s="240"/>
      <c r="Y95" s="242"/>
      <c r="Z95" s="242"/>
      <c r="AA95" s="242"/>
      <c r="AB95" s="242"/>
      <c r="AC95" s="245"/>
      <c r="AD95" s="242"/>
      <c r="AE95" s="242"/>
      <c r="AF95" s="242"/>
      <c r="AG95" s="240"/>
      <c r="AH95" s="248"/>
      <c r="AI95" s="248"/>
    </row>
    <row r="96" spans="1:35" ht="102">
      <c r="A96" s="237"/>
      <c r="B96" s="249"/>
      <c r="C96" s="239"/>
      <c r="D96" s="240"/>
      <c r="E96" s="250" t="s">
        <v>815</v>
      </c>
      <c r="F96" s="249" t="s">
        <v>816</v>
      </c>
      <c r="G96" s="251"/>
      <c r="H96" s="251" t="s">
        <v>817</v>
      </c>
      <c r="I96" s="251"/>
      <c r="J96" s="244" t="s">
        <v>686</v>
      </c>
      <c r="K96" s="251"/>
      <c r="L96" s="251"/>
      <c r="M96" s="249" t="s">
        <v>815</v>
      </c>
      <c r="N96" s="242"/>
      <c r="O96" s="254" t="s">
        <v>818</v>
      </c>
      <c r="P96" s="242"/>
      <c r="Q96" s="249" t="s">
        <v>812</v>
      </c>
      <c r="R96" s="249" t="s">
        <v>812</v>
      </c>
      <c r="S96" s="268"/>
      <c r="T96" s="249" t="s">
        <v>792</v>
      </c>
      <c r="U96" s="249" t="s">
        <v>819</v>
      </c>
      <c r="V96" s="249"/>
      <c r="W96" s="249"/>
      <c r="X96" s="253"/>
      <c r="Y96" s="255" t="s">
        <v>550</v>
      </c>
      <c r="Z96" s="255" t="s">
        <v>550</v>
      </c>
      <c r="AA96" s="257" t="s">
        <v>550</v>
      </c>
      <c r="AB96" s="257" t="s">
        <v>550</v>
      </c>
      <c r="AC96" s="257" t="s">
        <v>550</v>
      </c>
      <c r="AD96" s="255" t="s">
        <v>550</v>
      </c>
      <c r="AE96" s="257" t="s">
        <v>550</v>
      </c>
      <c r="AF96" s="255" t="s">
        <v>550</v>
      </c>
      <c r="AG96" s="253"/>
      <c r="AH96" s="258" t="s">
        <v>550</v>
      </c>
      <c r="AI96" s="258" t="s">
        <v>550</v>
      </c>
    </row>
    <row r="97" spans="1:35">
      <c r="A97" s="237">
        <v>53</v>
      </c>
      <c r="B97" s="288" t="s">
        <v>65</v>
      </c>
      <c r="C97" s="239" t="s">
        <v>820</v>
      </c>
      <c r="D97" s="240"/>
      <c r="E97" s="241">
        <v>252.73099999999999</v>
      </c>
      <c r="F97" s="245">
        <v>3010</v>
      </c>
      <c r="G97" s="243">
        <v>15</v>
      </c>
      <c r="H97" s="276">
        <v>541</v>
      </c>
      <c r="I97" s="261">
        <v>10</v>
      </c>
      <c r="J97" s="276">
        <v>182</v>
      </c>
      <c r="K97" s="261">
        <v>10</v>
      </c>
      <c r="L97" s="276"/>
      <c r="M97" s="235">
        <v>2.38</v>
      </c>
      <c r="N97" s="242">
        <f>10^M97</f>
        <v>239.88329190194912</v>
      </c>
      <c r="O97" s="235">
        <v>2.0699999999999998</v>
      </c>
      <c r="P97" s="242">
        <f>10^O97</f>
        <v>117.48975549395293</v>
      </c>
      <c r="Q97" s="235" t="s">
        <v>550</v>
      </c>
      <c r="R97" s="235" t="s">
        <v>550</v>
      </c>
      <c r="S97" s="280"/>
      <c r="T97" s="245">
        <v>0.02</v>
      </c>
      <c r="U97" s="245"/>
      <c r="V97" s="238">
        <f>0.00001/0.011</f>
        <v>9.090909090909092E-4</v>
      </c>
      <c r="W97" s="238">
        <f>(0.00001/0.0000011)*0.001</f>
        <v>9.0909090909090922E-3</v>
      </c>
      <c r="X97" s="240"/>
      <c r="Y97" s="242"/>
      <c r="Z97" s="242"/>
      <c r="AA97" s="242"/>
      <c r="AB97" s="242"/>
      <c r="AC97" s="245"/>
      <c r="AD97" s="242"/>
      <c r="AE97" s="242"/>
      <c r="AF97" s="242"/>
      <c r="AG97" s="240"/>
      <c r="AH97" s="248"/>
      <c r="AI97" s="248"/>
    </row>
    <row r="98" spans="1:35" ht="76.5">
      <c r="A98" s="237"/>
      <c r="B98" s="249"/>
      <c r="C98" s="239"/>
      <c r="D98" s="240"/>
      <c r="E98" s="250" t="s">
        <v>815</v>
      </c>
      <c r="F98" s="254" t="s">
        <v>821</v>
      </c>
      <c r="G98" s="289"/>
      <c r="H98" s="251" t="s">
        <v>817</v>
      </c>
      <c r="I98" s="251"/>
      <c r="J98" s="244" t="s">
        <v>686</v>
      </c>
      <c r="K98" s="251"/>
      <c r="L98" s="256"/>
      <c r="M98" s="249" t="s">
        <v>815</v>
      </c>
      <c r="N98" s="242"/>
      <c r="O98" s="254" t="s">
        <v>822</v>
      </c>
      <c r="P98" s="242"/>
      <c r="Q98" s="255" t="s">
        <v>550</v>
      </c>
      <c r="R98" s="254" t="s">
        <v>550</v>
      </c>
      <c r="S98" s="280"/>
      <c r="T98" s="249" t="s">
        <v>823</v>
      </c>
      <c r="U98" s="249"/>
      <c r="V98" s="249" t="s">
        <v>819</v>
      </c>
      <c r="W98" s="249" t="s">
        <v>824</v>
      </c>
      <c r="X98" s="253"/>
      <c r="Y98" s="255" t="s">
        <v>550</v>
      </c>
      <c r="Z98" s="255" t="s">
        <v>550</v>
      </c>
      <c r="AA98" s="257" t="s">
        <v>550</v>
      </c>
      <c r="AB98" s="257" t="s">
        <v>550</v>
      </c>
      <c r="AC98" s="257" t="s">
        <v>550</v>
      </c>
      <c r="AD98" s="255" t="s">
        <v>550</v>
      </c>
      <c r="AE98" s="257" t="s">
        <v>550</v>
      </c>
      <c r="AF98" s="255" t="s">
        <v>550</v>
      </c>
      <c r="AG98" s="253"/>
      <c r="AH98" s="258" t="s">
        <v>550</v>
      </c>
      <c r="AI98" s="258" t="s">
        <v>550</v>
      </c>
    </row>
    <row r="99" spans="1:35">
      <c r="A99" s="237">
        <v>54</v>
      </c>
      <c r="B99" s="288" t="s">
        <v>71</v>
      </c>
      <c r="C99" s="239" t="s">
        <v>825</v>
      </c>
      <c r="D99" s="240"/>
      <c r="E99" s="241">
        <v>208.28</v>
      </c>
      <c r="F99" s="245">
        <v>5814</v>
      </c>
      <c r="G99" s="243">
        <v>20</v>
      </c>
      <c r="H99" s="276">
        <v>2324</v>
      </c>
      <c r="I99" s="261">
        <v>20</v>
      </c>
      <c r="J99" s="276">
        <v>38.5</v>
      </c>
      <c r="K99" s="261">
        <v>10</v>
      </c>
      <c r="L99" s="276"/>
      <c r="M99" s="235">
        <v>2.15</v>
      </c>
      <c r="N99" s="242">
        <f>10^M99</f>
        <v>141.25375446227542</v>
      </c>
      <c r="O99" s="235">
        <v>1.76</v>
      </c>
      <c r="P99" s="242">
        <f>10^O99</f>
        <v>57.543993733715695</v>
      </c>
      <c r="Q99" s="235" t="s">
        <v>550</v>
      </c>
      <c r="R99" s="235" t="s">
        <v>550</v>
      </c>
      <c r="S99" s="280"/>
      <c r="T99" s="245">
        <v>0.02</v>
      </c>
      <c r="U99" s="245"/>
      <c r="V99" s="238">
        <f>0.00001/0.094</f>
        <v>1.0638297872340427E-4</v>
      </c>
      <c r="W99" s="238">
        <f>(0.00001/0.000027)*0.001</f>
        <v>3.7037037037037041E-4</v>
      </c>
      <c r="X99" s="240"/>
      <c r="Y99" s="242"/>
      <c r="Z99" s="242"/>
      <c r="AA99" s="242"/>
      <c r="AB99" s="242"/>
      <c r="AC99" s="245"/>
      <c r="AD99" s="242"/>
      <c r="AE99" s="242"/>
      <c r="AF99" s="242"/>
      <c r="AG99" s="240"/>
      <c r="AH99" s="248"/>
      <c r="AI99" s="248"/>
    </row>
    <row r="100" spans="1:35" ht="102">
      <c r="A100" s="237"/>
      <c r="B100" s="249"/>
      <c r="C100" s="239"/>
      <c r="D100" s="240"/>
      <c r="E100" s="250" t="s">
        <v>815</v>
      </c>
      <c r="F100" s="254" t="s">
        <v>826</v>
      </c>
      <c r="G100" s="289"/>
      <c r="H100" s="254" t="s">
        <v>826</v>
      </c>
      <c r="I100" s="289"/>
      <c r="J100" s="244" t="s">
        <v>686</v>
      </c>
      <c r="K100" s="251"/>
      <c r="L100" s="256"/>
      <c r="M100" s="254" t="s">
        <v>827</v>
      </c>
      <c r="N100" s="242"/>
      <c r="O100" s="254" t="s">
        <v>828</v>
      </c>
      <c r="P100" s="242"/>
      <c r="Q100" s="255" t="s">
        <v>550</v>
      </c>
      <c r="R100" s="254" t="s">
        <v>550</v>
      </c>
      <c r="S100" s="280"/>
      <c r="T100" s="249" t="s">
        <v>823</v>
      </c>
      <c r="U100" s="249"/>
      <c r="V100" s="249" t="s">
        <v>819</v>
      </c>
      <c r="W100" s="249" t="s">
        <v>829</v>
      </c>
      <c r="X100" s="253"/>
      <c r="Y100" s="255" t="s">
        <v>550</v>
      </c>
      <c r="Z100" s="255" t="s">
        <v>550</v>
      </c>
      <c r="AA100" s="257" t="s">
        <v>550</v>
      </c>
      <c r="AB100" s="257" t="s">
        <v>550</v>
      </c>
      <c r="AC100" s="257" t="s">
        <v>550</v>
      </c>
      <c r="AD100" s="255" t="s">
        <v>550</v>
      </c>
      <c r="AE100" s="257" t="s">
        <v>550</v>
      </c>
      <c r="AF100" s="255" t="s">
        <v>550</v>
      </c>
      <c r="AG100" s="253"/>
      <c r="AH100" s="258" t="s">
        <v>550</v>
      </c>
      <c r="AI100" s="258" t="s">
        <v>550</v>
      </c>
    </row>
    <row r="101" spans="1:35">
      <c r="A101" s="237">
        <v>55</v>
      </c>
      <c r="B101" s="288" t="s">
        <v>112</v>
      </c>
      <c r="C101" s="239" t="s">
        <v>830</v>
      </c>
      <c r="D101" s="240"/>
      <c r="E101" s="241">
        <v>390.55700000000002</v>
      </c>
      <c r="F101" s="245">
        <v>0.27</v>
      </c>
      <c r="G101" s="243">
        <v>25</v>
      </c>
      <c r="H101" s="276">
        <v>3.1999999999999999E-6</v>
      </c>
      <c r="I101" s="261">
        <v>10</v>
      </c>
      <c r="J101" s="276">
        <v>4.1000000000000003E-3</v>
      </c>
      <c r="K101" s="261">
        <v>25</v>
      </c>
      <c r="L101" s="276">
        <v>1.9999999999999999E-6</v>
      </c>
      <c r="M101" s="235">
        <v>6.78</v>
      </c>
      <c r="N101" s="242">
        <f>10^M101</f>
        <v>6025595.8607435944</v>
      </c>
      <c r="O101" s="235">
        <v>5.0599999999999996</v>
      </c>
      <c r="P101" s="242">
        <f>10^O101</f>
        <v>114815.36214968823</v>
      </c>
      <c r="Q101" s="235" t="s">
        <v>550</v>
      </c>
      <c r="R101" s="235" t="s">
        <v>550</v>
      </c>
      <c r="S101" s="280"/>
      <c r="T101" s="245">
        <v>4.0000000000000001E-3</v>
      </c>
      <c r="U101" s="245"/>
      <c r="V101" s="238">
        <f>0.00001/0.014</f>
        <v>7.1428571428571429E-4</v>
      </c>
      <c r="W101" s="238">
        <f>(0.00001/0.0000024)*0.001</f>
        <v>4.1666666666666675E-3</v>
      </c>
      <c r="X101" s="240"/>
      <c r="Y101" s="242"/>
      <c r="Z101" s="242"/>
      <c r="AA101" s="242"/>
      <c r="AB101" s="242"/>
      <c r="AC101" s="245"/>
      <c r="AD101" s="242"/>
      <c r="AE101" s="242"/>
      <c r="AF101" s="242"/>
      <c r="AG101" s="240"/>
      <c r="AH101" s="248"/>
      <c r="AI101" s="248"/>
    </row>
    <row r="102" spans="1:35" ht="242.25">
      <c r="A102" s="237"/>
      <c r="B102" s="249"/>
      <c r="C102" s="239"/>
      <c r="D102" s="240"/>
      <c r="E102" s="250" t="s">
        <v>831</v>
      </c>
      <c r="F102" s="254" t="s">
        <v>832</v>
      </c>
      <c r="G102" s="289"/>
      <c r="H102" s="254" t="s">
        <v>833</v>
      </c>
      <c r="I102" s="289"/>
      <c r="J102" s="244" t="s">
        <v>686</v>
      </c>
      <c r="K102" s="251"/>
      <c r="L102" s="251" t="s">
        <v>690</v>
      </c>
      <c r="M102" s="254" t="s">
        <v>834</v>
      </c>
      <c r="N102" s="242"/>
      <c r="O102" s="254" t="s">
        <v>835</v>
      </c>
      <c r="P102" s="242"/>
      <c r="Q102" s="255" t="s">
        <v>550</v>
      </c>
      <c r="R102" s="254" t="s">
        <v>550</v>
      </c>
      <c r="S102" s="280"/>
      <c r="T102" s="249" t="s">
        <v>702</v>
      </c>
      <c r="U102" s="249" t="s">
        <v>836</v>
      </c>
      <c r="V102" s="249" t="s">
        <v>837</v>
      </c>
      <c r="W102" s="249" t="s">
        <v>838</v>
      </c>
      <c r="X102" s="253"/>
      <c r="Y102" s="255" t="s">
        <v>550</v>
      </c>
      <c r="Z102" s="255" t="s">
        <v>550</v>
      </c>
      <c r="AA102" s="257" t="s">
        <v>550</v>
      </c>
      <c r="AB102" s="257" t="s">
        <v>550</v>
      </c>
      <c r="AC102" s="257" t="s">
        <v>550</v>
      </c>
      <c r="AD102" s="255" t="s">
        <v>550</v>
      </c>
      <c r="AE102" s="257" t="s">
        <v>550</v>
      </c>
      <c r="AF102" s="255" t="s">
        <v>550</v>
      </c>
      <c r="AG102" s="253"/>
      <c r="AH102" s="258" t="s">
        <v>550</v>
      </c>
      <c r="AI102" s="258" t="s">
        <v>550</v>
      </c>
    </row>
    <row r="103" spans="1:35">
      <c r="A103" s="237">
        <v>57</v>
      </c>
      <c r="B103" s="288" t="s">
        <v>185</v>
      </c>
      <c r="C103" s="239" t="s">
        <v>839</v>
      </c>
      <c r="D103" s="240"/>
      <c r="E103" s="241">
        <v>154.20699999999999</v>
      </c>
      <c r="F103" s="245">
        <v>4.0599999999999996</v>
      </c>
      <c r="G103" s="243">
        <v>25</v>
      </c>
      <c r="H103" s="276">
        <v>0.36099999999999999</v>
      </c>
      <c r="I103" s="261">
        <v>14.9</v>
      </c>
      <c r="J103" s="276">
        <v>11.55</v>
      </c>
      <c r="K103" s="261">
        <v>25</v>
      </c>
      <c r="L103" s="276">
        <v>4.9999999999999998E-7</v>
      </c>
      <c r="M103" s="235">
        <v>3.76</v>
      </c>
      <c r="N103" s="242">
        <f>10^M103</f>
        <v>5754.399373371567</v>
      </c>
      <c r="O103" s="235">
        <v>3.25</v>
      </c>
      <c r="P103" s="242">
        <f>10^O103</f>
        <v>1778.2794100389244</v>
      </c>
      <c r="Q103" s="235" t="s">
        <v>550</v>
      </c>
      <c r="R103" s="235" t="s">
        <v>550</v>
      </c>
      <c r="S103" s="280"/>
      <c r="T103" s="276">
        <v>0.5</v>
      </c>
      <c r="U103" s="238"/>
      <c r="V103" s="238">
        <f>0.00001/0.008</f>
        <v>1.25E-3</v>
      </c>
      <c r="W103" s="238"/>
      <c r="X103" s="240"/>
      <c r="Y103" s="242"/>
      <c r="Z103" s="242"/>
      <c r="AA103" s="242"/>
      <c r="AB103" s="242"/>
      <c r="AC103" s="245"/>
      <c r="AD103" s="242"/>
      <c r="AE103" s="242"/>
      <c r="AF103" s="242"/>
      <c r="AG103" s="240"/>
      <c r="AH103" s="248"/>
      <c r="AI103" s="248"/>
    </row>
    <row r="104" spans="1:35" ht="255">
      <c r="A104" s="237"/>
      <c r="B104" s="249"/>
      <c r="C104" s="239"/>
      <c r="D104" s="240"/>
      <c r="E104" s="250" t="s">
        <v>815</v>
      </c>
      <c r="F104" s="254" t="s">
        <v>840</v>
      </c>
      <c r="G104" s="289"/>
      <c r="H104" s="254" t="s">
        <v>841</v>
      </c>
      <c r="I104" s="289"/>
      <c r="J104" s="244" t="s">
        <v>686</v>
      </c>
      <c r="K104" s="251"/>
      <c r="L104" s="251" t="s">
        <v>842</v>
      </c>
      <c r="M104" s="249" t="s">
        <v>815</v>
      </c>
      <c r="N104" s="242"/>
      <c r="O104" s="254" t="s">
        <v>843</v>
      </c>
      <c r="P104" s="242"/>
      <c r="Q104" s="255" t="s">
        <v>550</v>
      </c>
      <c r="R104" s="254" t="s">
        <v>550</v>
      </c>
      <c r="S104" s="280"/>
      <c r="T104" s="249" t="s">
        <v>844</v>
      </c>
      <c r="U104" s="249"/>
      <c r="V104" s="249" t="s">
        <v>844</v>
      </c>
      <c r="W104" s="238"/>
      <c r="X104" s="240"/>
      <c r="Y104" s="255" t="s">
        <v>550</v>
      </c>
      <c r="Z104" s="255" t="s">
        <v>550</v>
      </c>
      <c r="AA104" s="257" t="s">
        <v>550</v>
      </c>
      <c r="AB104" s="257" t="s">
        <v>550</v>
      </c>
      <c r="AC104" s="257" t="s">
        <v>550</v>
      </c>
      <c r="AD104" s="255" t="s">
        <v>550</v>
      </c>
      <c r="AE104" s="257" t="s">
        <v>550</v>
      </c>
      <c r="AF104" s="255" t="s">
        <v>550</v>
      </c>
      <c r="AG104" s="253"/>
      <c r="AH104" s="258" t="s">
        <v>550</v>
      </c>
      <c r="AI104" s="258" t="s">
        <v>550</v>
      </c>
    </row>
    <row r="105" spans="1:35">
      <c r="A105" s="237">
        <v>58</v>
      </c>
      <c r="B105" s="288" t="s">
        <v>64</v>
      </c>
      <c r="C105" s="239" t="s">
        <v>845</v>
      </c>
      <c r="D105" s="240"/>
      <c r="E105" s="241">
        <v>163.82900000000001</v>
      </c>
      <c r="F105" s="245">
        <v>8880</v>
      </c>
      <c r="G105" s="243">
        <v>20</v>
      </c>
      <c r="H105" s="276">
        <v>7551</v>
      </c>
      <c r="I105" s="261">
        <v>20</v>
      </c>
      <c r="J105" s="276">
        <v>162</v>
      </c>
      <c r="K105" s="261">
        <v>20</v>
      </c>
      <c r="L105" s="276"/>
      <c r="M105" s="235">
        <v>2.02</v>
      </c>
      <c r="N105" s="242">
        <f>10^M105</f>
        <v>104.71285480508998</v>
      </c>
      <c r="O105" s="235">
        <v>2.0299999999999998</v>
      </c>
      <c r="P105" s="242">
        <f>10^O105</f>
        <v>107.15193052376065</v>
      </c>
      <c r="Q105" s="235" t="s">
        <v>550</v>
      </c>
      <c r="R105" s="235" t="s">
        <v>550</v>
      </c>
      <c r="S105" s="280"/>
      <c r="T105" s="276">
        <v>0.02</v>
      </c>
      <c r="U105" s="238"/>
      <c r="V105" s="238">
        <f>0.00001/0.062</f>
        <v>1.6129032258064519E-4</v>
      </c>
      <c r="W105" s="238"/>
      <c r="X105" s="240"/>
      <c r="Y105" s="242"/>
      <c r="Z105" s="242"/>
      <c r="AA105" s="242"/>
      <c r="AB105" s="242"/>
      <c r="AC105" s="245"/>
      <c r="AD105" s="242"/>
      <c r="AE105" s="242"/>
      <c r="AF105" s="242"/>
      <c r="AG105" s="240"/>
      <c r="AH105" s="248"/>
      <c r="AI105" s="248"/>
    </row>
    <row r="106" spans="1:35" ht="63.75">
      <c r="A106" s="237"/>
      <c r="B106" s="249"/>
      <c r="C106" s="239"/>
      <c r="D106" s="240"/>
      <c r="E106" s="250" t="s">
        <v>815</v>
      </c>
      <c r="F106" s="254" t="s">
        <v>826</v>
      </c>
      <c r="G106" s="289"/>
      <c r="H106" s="254" t="s">
        <v>846</v>
      </c>
      <c r="I106" s="289"/>
      <c r="J106" s="244" t="s">
        <v>686</v>
      </c>
      <c r="K106" s="251"/>
      <c r="L106" s="256"/>
      <c r="M106" s="254" t="s">
        <v>847</v>
      </c>
      <c r="N106" s="242"/>
      <c r="O106" s="254" t="s">
        <v>848</v>
      </c>
      <c r="P106" s="242"/>
      <c r="Q106" s="255" t="s">
        <v>550</v>
      </c>
      <c r="R106" s="254" t="s">
        <v>550</v>
      </c>
      <c r="S106" s="280"/>
      <c r="T106" s="249" t="s">
        <v>849</v>
      </c>
      <c r="U106" s="249"/>
      <c r="V106" s="249" t="s">
        <v>850</v>
      </c>
      <c r="W106" s="238"/>
      <c r="X106" s="240"/>
      <c r="Y106" s="255" t="s">
        <v>550</v>
      </c>
      <c r="Z106" s="255" t="s">
        <v>550</v>
      </c>
      <c r="AA106" s="257" t="s">
        <v>550</v>
      </c>
      <c r="AB106" s="257" t="s">
        <v>550</v>
      </c>
      <c r="AC106" s="257" t="s">
        <v>550</v>
      </c>
      <c r="AD106" s="255" t="s">
        <v>550</v>
      </c>
      <c r="AE106" s="257" t="s">
        <v>550</v>
      </c>
      <c r="AF106" s="255" t="s">
        <v>550</v>
      </c>
      <c r="AG106" s="253"/>
      <c r="AH106" s="258" t="s">
        <v>550</v>
      </c>
      <c r="AI106" s="258" t="s">
        <v>550</v>
      </c>
    </row>
    <row r="107" spans="1:35">
      <c r="A107" s="237">
        <v>59</v>
      </c>
      <c r="B107" s="245" t="s">
        <v>213</v>
      </c>
      <c r="C107" s="272" t="s">
        <v>1205</v>
      </c>
      <c r="D107" s="259"/>
      <c r="E107" s="275">
        <v>107.86799999999999</v>
      </c>
      <c r="F107" s="245"/>
      <c r="G107" s="243"/>
      <c r="H107" s="276"/>
      <c r="I107" s="261"/>
      <c r="J107" s="245"/>
      <c r="K107" s="243"/>
      <c r="L107" s="245"/>
      <c r="M107" s="242"/>
      <c r="N107" s="242"/>
      <c r="O107" s="242"/>
      <c r="P107" s="243">
        <v>8.3000000000000007</v>
      </c>
      <c r="Q107" s="238" t="s">
        <v>550</v>
      </c>
      <c r="R107" s="238" t="s">
        <v>550</v>
      </c>
      <c r="S107" s="291"/>
      <c r="T107" s="245">
        <v>5.0000000000000001E-3</v>
      </c>
      <c r="U107" s="298"/>
      <c r="V107" s="298"/>
      <c r="W107" s="298"/>
      <c r="X107" s="299"/>
      <c r="Y107" s="245"/>
      <c r="Z107" s="242"/>
      <c r="AA107" s="245"/>
      <c r="AB107" s="242"/>
      <c r="AC107" s="245"/>
      <c r="AD107" s="242"/>
      <c r="AE107" s="245"/>
      <c r="AF107" s="245"/>
      <c r="AG107" s="240"/>
      <c r="AH107" s="248"/>
      <c r="AI107" s="248"/>
    </row>
    <row r="108" spans="1:35" ht="63.75">
      <c r="A108" s="237"/>
      <c r="B108" s="249"/>
      <c r="C108" s="272"/>
      <c r="D108" s="259"/>
      <c r="E108" s="250" t="s">
        <v>1175</v>
      </c>
      <c r="F108" s="249"/>
      <c r="G108" s="251"/>
      <c r="H108" s="251"/>
      <c r="I108" s="251"/>
      <c r="J108" s="244"/>
      <c r="K108" s="251"/>
      <c r="L108" s="249"/>
      <c r="M108" s="249"/>
      <c r="N108" s="242"/>
      <c r="O108" s="249"/>
      <c r="P108" s="243" t="s">
        <v>1507</v>
      </c>
      <c r="Q108" s="265" t="s">
        <v>550</v>
      </c>
      <c r="R108" s="265" t="s">
        <v>550</v>
      </c>
      <c r="S108" s="292"/>
      <c r="T108" s="254" t="s">
        <v>1206</v>
      </c>
      <c r="U108" s="254"/>
      <c r="V108" s="283"/>
      <c r="W108" s="283"/>
      <c r="X108" s="287"/>
      <c r="Y108" s="276"/>
      <c r="Z108" s="255" t="s">
        <v>550</v>
      </c>
      <c r="AA108" s="276"/>
      <c r="AB108" s="257" t="s">
        <v>550</v>
      </c>
      <c r="AC108" s="276"/>
      <c r="AD108" s="255" t="s">
        <v>550</v>
      </c>
      <c r="AE108" s="276"/>
      <c r="AF108" s="256"/>
      <c r="AG108" s="253"/>
      <c r="AH108" s="258"/>
      <c r="AI108" s="258"/>
    </row>
    <row r="109" spans="1:35">
      <c r="A109" s="237">
        <v>60</v>
      </c>
      <c r="B109" s="245" t="s">
        <v>214</v>
      </c>
      <c r="C109" s="272" t="s">
        <v>1207</v>
      </c>
      <c r="D109" s="259"/>
      <c r="E109" s="275">
        <v>10.811</v>
      </c>
      <c r="F109" s="245"/>
      <c r="G109" s="243"/>
      <c r="H109" s="276"/>
      <c r="I109" s="261"/>
      <c r="J109" s="245"/>
      <c r="K109" s="243"/>
      <c r="L109" s="245"/>
      <c r="M109" s="242"/>
      <c r="N109" s="242"/>
      <c r="O109" s="242"/>
      <c r="P109" s="243">
        <v>3</v>
      </c>
      <c r="Q109" s="238" t="s">
        <v>550</v>
      </c>
      <c r="R109" s="238" t="s">
        <v>550</v>
      </c>
      <c r="S109" s="291"/>
      <c r="T109" s="245">
        <v>1.7500000000000002E-2</v>
      </c>
      <c r="U109" s="298"/>
      <c r="V109" s="298"/>
      <c r="W109" s="298"/>
      <c r="X109" s="299"/>
      <c r="Y109" s="242"/>
      <c r="Z109" s="242"/>
      <c r="AA109" s="242"/>
      <c r="AB109" s="242"/>
      <c r="AC109" s="302"/>
      <c r="AD109" s="242"/>
      <c r="AE109" s="242"/>
      <c r="AF109" s="245"/>
      <c r="AG109" s="240"/>
      <c r="AH109" s="248"/>
      <c r="AI109" s="248"/>
    </row>
    <row r="110" spans="1:35" ht="63.75">
      <c r="A110" s="237"/>
      <c r="B110" s="249"/>
      <c r="C110" s="272"/>
      <c r="D110" s="259"/>
      <c r="E110" s="250" t="s">
        <v>1175</v>
      </c>
      <c r="F110" s="249"/>
      <c r="G110" s="251"/>
      <c r="H110" s="251"/>
      <c r="I110" s="251"/>
      <c r="J110" s="244"/>
      <c r="K110" s="251"/>
      <c r="L110" s="249"/>
      <c r="M110" s="249"/>
      <c r="N110" s="242"/>
      <c r="O110" s="249"/>
      <c r="P110" s="243" t="s">
        <v>1507</v>
      </c>
      <c r="Q110" s="265" t="s">
        <v>550</v>
      </c>
      <c r="R110" s="265" t="s">
        <v>550</v>
      </c>
      <c r="S110" s="292"/>
      <c r="T110" s="254" t="s">
        <v>792</v>
      </c>
      <c r="U110" s="254"/>
      <c r="V110" s="283"/>
      <c r="W110" s="283"/>
      <c r="X110" s="287"/>
      <c r="Y110" s="276"/>
      <c r="Z110" s="255" t="s">
        <v>550</v>
      </c>
      <c r="AA110" s="276"/>
      <c r="AB110" s="257" t="s">
        <v>550</v>
      </c>
      <c r="AC110" s="276"/>
      <c r="AD110" s="255" t="s">
        <v>550</v>
      </c>
      <c r="AE110" s="263"/>
      <c r="AF110" s="256"/>
      <c r="AG110" s="253"/>
      <c r="AH110" s="258"/>
      <c r="AI110" s="258"/>
    </row>
    <row r="111" spans="1:35">
      <c r="A111" s="237">
        <v>61</v>
      </c>
      <c r="B111" s="245" t="s">
        <v>215</v>
      </c>
      <c r="C111" s="272" t="s">
        <v>1208</v>
      </c>
      <c r="D111" s="259"/>
      <c r="E111" s="275">
        <v>87.62</v>
      </c>
      <c r="F111" s="245"/>
      <c r="G111" s="243"/>
      <c r="H111" s="276"/>
      <c r="I111" s="261"/>
      <c r="J111" s="245"/>
      <c r="K111" s="243"/>
      <c r="L111" s="245"/>
      <c r="M111" s="242"/>
      <c r="N111" s="242"/>
      <c r="O111" s="242"/>
      <c r="P111" s="243">
        <v>35</v>
      </c>
      <c r="Q111" s="238" t="s">
        <v>550</v>
      </c>
      <c r="R111" s="238" t="s">
        <v>550</v>
      </c>
      <c r="S111" s="291"/>
      <c r="T111" s="245">
        <v>0.6</v>
      </c>
      <c r="U111" s="298"/>
      <c r="V111" s="298"/>
      <c r="W111" s="298"/>
      <c r="X111" s="299"/>
      <c r="Y111" s="242"/>
      <c r="Z111" s="242"/>
      <c r="AA111" s="242"/>
      <c r="AB111" s="242"/>
      <c r="AC111" s="242"/>
      <c r="AD111" s="242"/>
      <c r="AE111" s="242"/>
      <c r="AF111" s="245"/>
      <c r="AG111" s="240"/>
      <c r="AH111" s="248"/>
      <c r="AI111" s="248"/>
    </row>
    <row r="112" spans="1:35" ht="63.75">
      <c r="A112" s="237"/>
      <c r="B112" s="249"/>
      <c r="C112" s="272"/>
      <c r="D112" s="259"/>
      <c r="E112" s="250" t="s">
        <v>1175</v>
      </c>
      <c r="F112" s="249"/>
      <c r="G112" s="251"/>
      <c r="H112" s="251"/>
      <c r="I112" s="251"/>
      <c r="J112" s="244"/>
      <c r="K112" s="251"/>
      <c r="L112" s="249"/>
      <c r="M112" s="249"/>
      <c r="N112" s="242"/>
      <c r="O112" s="249"/>
      <c r="P112" s="243" t="s">
        <v>1507</v>
      </c>
      <c r="Q112" s="265" t="s">
        <v>550</v>
      </c>
      <c r="R112" s="265" t="s">
        <v>550</v>
      </c>
      <c r="S112" s="292"/>
      <c r="T112" s="254" t="s">
        <v>901</v>
      </c>
      <c r="U112" s="254"/>
      <c r="V112" s="283"/>
      <c r="W112" s="283"/>
      <c r="X112" s="287"/>
      <c r="Y112" s="276"/>
      <c r="Z112" s="255" t="s">
        <v>550</v>
      </c>
      <c r="AA112" s="276"/>
      <c r="AB112" s="257" t="s">
        <v>550</v>
      </c>
      <c r="AC112" s="263"/>
      <c r="AD112" s="255" t="s">
        <v>550</v>
      </c>
      <c r="AE112" s="263"/>
      <c r="AF112" s="256"/>
      <c r="AG112" s="253"/>
      <c r="AH112" s="258"/>
      <c r="AI112" s="258"/>
    </row>
    <row r="113" spans="1:35">
      <c r="A113" s="237">
        <v>62</v>
      </c>
      <c r="B113" s="245" t="s">
        <v>356</v>
      </c>
      <c r="C113" s="239" t="s">
        <v>851</v>
      </c>
      <c r="D113" s="240"/>
      <c r="E113" s="275">
        <v>422.86799999999999</v>
      </c>
      <c r="F113" s="245">
        <v>0.1</v>
      </c>
      <c r="G113" s="243">
        <v>25</v>
      </c>
      <c r="H113" s="276">
        <v>241000</v>
      </c>
      <c r="I113" s="261" t="s">
        <v>550</v>
      </c>
      <c r="J113" s="245">
        <v>0.101325</v>
      </c>
      <c r="K113" s="243">
        <v>25</v>
      </c>
      <c r="L113" s="245"/>
      <c r="M113" s="242">
        <v>6.6</v>
      </c>
      <c r="N113" s="242">
        <f>10^M113</f>
        <v>3981071.705534976</v>
      </c>
      <c r="O113" s="242">
        <f>LOG(50000)</f>
        <v>4.6989700043360187</v>
      </c>
      <c r="P113" s="242">
        <f>10^O113</f>
        <v>50000.000000000007</v>
      </c>
      <c r="Q113" s="245" t="s">
        <v>550</v>
      </c>
      <c r="R113" s="245" t="s">
        <v>550</v>
      </c>
      <c r="S113" s="271"/>
      <c r="T113" s="245">
        <v>1.4999999999999999E-2</v>
      </c>
      <c r="U113" s="245"/>
      <c r="V113" s="245"/>
      <c r="W113" s="245"/>
      <c r="X113" s="247"/>
      <c r="Y113" s="242"/>
      <c r="Z113" s="242"/>
      <c r="AA113" s="242"/>
      <c r="AB113" s="242"/>
      <c r="AC113" s="245"/>
      <c r="AD113" s="242"/>
      <c r="AE113" s="242"/>
      <c r="AF113" s="242"/>
      <c r="AG113" s="240"/>
      <c r="AH113" s="248"/>
      <c r="AI113" s="248"/>
    </row>
    <row r="114" spans="1:35" ht="92.25" customHeight="1">
      <c r="A114" s="237"/>
      <c r="B114" s="249"/>
      <c r="C114" s="239"/>
      <c r="D114" s="240"/>
      <c r="E114" s="250" t="s">
        <v>815</v>
      </c>
      <c r="F114" s="249" t="s">
        <v>852</v>
      </c>
      <c r="G114" s="251"/>
      <c r="H114" s="254" t="s">
        <v>853</v>
      </c>
      <c r="I114" s="289"/>
      <c r="J114" s="244" t="s">
        <v>854</v>
      </c>
      <c r="K114" s="251"/>
      <c r="L114" s="249"/>
      <c r="M114" s="251" t="s">
        <v>853</v>
      </c>
      <c r="N114" s="242"/>
      <c r="O114" s="249" t="s">
        <v>853</v>
      </c>
      <c r="P114" s="242"/>
      <c r="Q114" s="255" t="s">
        <v>550</v>
      </c>
      <c r="R114" s="254" t="s">
        <v>550</v>
      </c>
      <c r="S114" s="290"/>
      <c r="T114" s="249" t="s">
        <v>855</v>
      </c>
      <c r="U114" s="256"/>
      <c r="V114" s="249"/>
      <c r="W114" s="249"/>
      <c r="X114" s="253"/>
      <c r="Y114" s="255" t="s">
        <v>550</v>
      </c>
      <c r="Z114" s="255" t="s">
        <v>550</v>
      </c>
      <c r="AA114" s="257" t="s">
        <v>550</v>
      </c>
      <c r="AB114" s="257" t="s">
        <v>550</v>
      </c>
      <c r="AC114" s="257" t="s">
        <v>550</v>
      </c>
      <c r="AD114" s="255" t="s">
        <v>550</v>
      </c>
      <c r="AE114" s="257" t="s">
        <v>550</v>
      </c>
      <c r="AF114" s="255" t="s">
        <v>550</v>
      </c>
      <c r="AG114" s="253"/>
      <c r="AH114" s="258" t="s">
        <v>550</v>
      </c>
      <c r="AI114" s="258" t="s">
        <v>550</v>
      </c>
    </row>
    <row r="115" spans="1:35">
      <c r="A115" s="237">
        <v>63</v>
      </c>
      <c r="B115" s="245" t="s">
        <v>59</v>
      </c>
      <c r="C115" s="272" t="s">
        <v>856</v>
      </c>
      <c r="D115" s="259"/>
      <c r="E115" s="275">
        <v>126.584</v>
      </c>
      <c r="F115" s="245">
        <v>117</v>
      </c>
      <c r="G115" s="243">
        <v>25</v>
      </c>
      <c r="H115" s="276">
        <v>190.51</v>
      </c>
      <c r="I115" s="261">
        <v>10</v>
      </c>
      <c r="J115" s="245">
        <v>295</v>
      </c>
      <c r="K115" s="243">
        <v>20</v>
      </c>
      <c r="L115" s="245"/>
      <c r="M115" s="242">
        <v>3.42</v>
      </c>
      <c r="N115" s="242">
        <f>10^M115</f>
        <v>2630.2679918953822</v>
      </c>
      <c r="O115" s="242">
        <v>3.03</v>
      </c>
      <c r="P115" s="242">
        <f>10^O115</f>
        <v>1071.5193052376069</v>
      </c>
      <c r="Q115" s="245" t="s">
        <v>550</v>
      </c>
      <c r="R115" s="245" t="s">
        <v>550</v>
      </c>
      <c r="S115" s="291"/>
      <c r="T115" s="245">
        <v>0.02</v>
      </c>
      <c r="U115" s="245"/>
      <c r="V115" s="245"/>
      <c r="W115" s="245"/>
      <c r="X115" s="247"/>
      <c r="Y115" s="242"/>
      <c r="Z115" s="242"/>
      <c r="AA115" s="245"/>
      <c r="AB115" s="242"/>
      <c r="AC115" s="245"/>
      <c r="AD115" s="242"/>
      <c r="AE115" s="242"/>
      <c r="AF115" s="245"/>
      <c r="AG115" s="240"/>
      <c r="AH115" s="248"/>
      <c r="AI115" s="248"/>
    </row>
    <row r="116" spans="1:35" ht="102">
      <c r="A116" s="237"/>
      <c r="B116" s="249"/>
      <c r="C116" s="272"/>
      <c r="D116" s="259"/>
      <c r="E116" s="250" t="s">
        <v>857</v>
      </c>
      <c r="F116" s="249" t="s">
        <v>858</v>
      </c>
      <c r="G116" s="251"/>
      <c r="H116" s="251" t="s">
        <v>859</v>
      </c>
      <c r="I116" s="251"/>
      <c r="J116" s="244" t="s">
        <v>686</v>
      </c>
      <c r="K116" s="251"/>
      <c r="L116" s="249"/>
      <c r="M116" s="251" t="s">
        <v>860</v>
      </c>
      <c r="N116" s="242"/>
      <c r="O116" s="249" t="s">
        <v>861</v>
      </c>
      <c r="P116" s="242"/>
      <c r="Q116" s="265" t="s">
        <v>550</v>
      </c>
      <c r="R116" s="265" t="s">
        <v>550</v>
      </c>
      <c r="S116" s="292"/>
      <c r="T116" s="254" t="s">
        <v>862</v>
      </c>
      <c r="U116" s="256"/>
      <c r="V116" s="249"/>
      <c r="W116" s="249"/>
      <c r="X116" s="253"/>
      <c r="Y116" s="254"/>
      <c r="Z116" s="255" t="s">
        <v>550</v>
      </c>
      <c r="AA116" s="256"/>
      <c r="AB116" s="257" t="s">
        <v>550</v>
      </c>
      <c r="AC116" s="256"/>
      <c r="AD116" s="255" t="s">
        <v>550</v>
      </c>
      <c r="AE116" s="257" t="s">
        <v>550</v>
      </c>
      <c r="AF116" s="256"/>
      <c r="AG116" s="253"/>
      <c r="AH116" s="258" t="s">
        <v>550</v>
      </c>
      <c r="AI116" s="258" t="s">
        <v>550</v>
      </c>
    </row>
    <row r="117" spans="1:35">
      <c r="A117" s="237">
        <v>64</v>
      </c>
      <c r="B117" s="238" t="s">
        <v>63</v>
      </c>
      <c r="C117" s="272" t="s">
        <v>864</v>
      </c>
      <c r="D117" s="259"/>
      <c r="E117" s="275">
        <v>157.00800000000001</v>
      </c>
      <c r="F117" s="235">
        <v>387</v>
      </c>
      <c r="G117" s="261">
        <v>10</v>
      </c>
      <c r="H117" s="245">
        <v>136.80000000000001</v>
      </c>
      <c r="I117" s="243">
        <v>10</v>
      </c>
      <c r="J117" s="245">
        <v>92</v>
      </c>
      <c r="K117" s="243">
        <v>10</v>
      </c>
      <c r="L117" s="245"/>
      <c r="M117" s="242">
        <v>2.99</v>
      </c>
      <c r="N117" s="242">
        <f>10^M117</f>
        <v>977.23722095581138</v>
      </c>
      <c r="O117" s="242">
        <v>2.4900000000000002</v>
      </c>
      <c r="P117" s="242">
        <f>10^O117</f>
        <v>309.02954325135937</v>
      </c>
      <c r="Q117" s="238" t="s">
        <v>550</v>
      </c>
      <c r="R117" s="238" t="s">
        <v>550</v>
      </c>
      <c r="S117" s="280"/>
      <c r="T117" s="245">
        <v>8.0000000000000002E-3</v>
      </c>
      <c r="U117" s="245">
        <v>0.06</v>
      </c>
      <c r="V117" s="245"/>
      <c r="W117" s="245"/>
      <c r="X117" s="247"/>
      <c r="Y117" s="242"/>
      <c r="Z117" s="242"/>
      <c r="AA117" s="245"/>
      <c r="AB117" s="242"/>
      <c r="AC117" s="245"/>
      <c r="AD117" s="242"/>
      <c r="AE117" s="242"/>
      <c r="AF117" s="245"/>
      <c r="AG117" s="240"/>
      <c r="AH117" s="248"/>
      <c r="AI117" s="248"/>
    </row>
    <row r="118" spans="1:35" ht="89.25">
      <c r="A118" s="237"/>
      <c r="B118" s="249"/>
      <c r="C118" s="272"/>
      <c r="D118" s="259"/>
      <c r="E118" s="250" t="s">
        <v>857</v>
      </c>
      <c r="F118" s="256" t="s">
        <v>865</v>
      </c>
      <c r="G118" s="264"/>
      <c r="H118" s="251" t="s">
        <v>866</v>
      </c>
      <c r="I118" s="251"/>
      <c r="J118" s="244" t="s">
        <v>686</v>
      </c>
      <c r="K118" s="251"/>
      <c r="L118" s="251"/>
      <c r="M118" s="249" t="s">
        <v>867</v>
      </c>
      <c r="N118" s="242"/>
      <c r="O118" s="249" t="s">
        <v>868</v>
      </c>
      <c r="P118" s="242"/>
      <c r="Q118" s="265" t="s">
        <v>550</v>
      </c>
      <c r="R118" s="265" t="s">
        <v>550</v>
      </c>
      <c r="S118" s="281"/>
      <c r="T118" s="249" t="s">
        <v>869</v>
      </c>
      <c r="U118" s="249" t="s">
        <v>869</v>
      </c>
      <c r="V118" s="249"/>
      <c r="W118" s="249"/>
      <c r="X118" s="253"/>
      <c r="Y118" s="254"/>
      <c r="Z118" s="255" t="s">
        <v>550</v>
      </c>
      <c r="AA118" s="256"/>
      <c r="AB118" s="257" t="s">
        <v>550</v>
      </c>
      <c r="AC118" s="256"/>
      <c r="AD118" s="255" t="s">
        <v>550</v>
      </c>
      <c r="AE118" s="257" t="s">
        <v>550</v>
      </c>
      <c r="AF118" s="256"/>
      <c r="AG118" s="253"/>
      <c r="AH118" s="258" t="s">
        <v>550</v>
      </c>
      <c r="AI118" s="258" t="s">
        <v>550</v>
      </c>
    </row>
    <row r="119" spans="1:35">
      <c r="A119" s="237">
        <v>65</v>
      </c>
      <c r="B119" s="238" t="s">
        <v>83</v>
      </c>
      <c r="C119" s="272" t="s">
        <v>870</v>
      </c>
      <c r="D119" s="259"/>
      <c r="E119" s="275">
        <v>79.100999999999999</v>
      </c>
      <c r="F119" s="238">
        <v>1000000</v>
      </c>
      <c r="G119" s="243" t="s">
        <v>550</v>
      </c>
      <c r="H119" s="276">
        <v>809.46858741768449</v>
      </c>
      <c r="I119" s="261">
        <v>10</v>
      </c>
      <c r="J119" s="245">
        <v>27.78</v>
      </c>
      <c r="K119" s="243">
        <v>20</v>
      </c>
      <c r="L119" s="245">
        <v>1.9999999999999999E-6</v>
      </c>
      <c r="M119" s="242">
        <v>0.65</v>
      </c>
      <c r="N119" s="242">
        <f>10^M119</f>
        <v>4.4668359215096318</v>
      </c>
      <c r="O119" s="242">
        <f>LOG(39.8107176,10)</f>
        <v>1.6000000059415811</v>
      </c>
      <c r="P119" s="242">
        <f>10^O119</f>
        <v>39.810717600000011</v>
      </c>
      <c r="Q119" s="238" t="s">
        <v>550</v>
      </c>
      <c r="R119" s="238" t="s">
        <v>550</v>
      </c>
      <c r="S119" s="291"/>
      <c r="T119" s="245">
        <v>1E-3</v>
      </c>
      <c r="U119" s="276">
        <v>0.12</v>
      </c>
      <c r="V119" s="245"/>
      <c r="W119" s="245"/>
      <c r="X119" s="247"/>
      <c r="Y119" s="242"/>
      <c r="Z119" s="242"/>
      <c r="AA119" s="242"/>
      <c r="AB119" s="242"/>
      <c r="AC119" s="245"/>
      <c r="AD119" s="242"/>
      <c r="AE119" s="242"/>
      <c r="AF119" s="242"/>
      <c r="AG119" s="240"/>
      <c r="AH119" s="248"/>
      <c r="AI119" s="248"/>
    </row>
    <row r="120" spans="1:35" ht="242.25">
      <c r="A120" s="237"/>
      <c r="B120" s="249"/>
      <c r="C120" s="272"/>
      <c r="D120" s="259"/>
      <c r="E120" s="250" t="s">
        <v>871</v>
      </c>
      <c r="F120" s="249" t="s">
        <v>872</v>
      </c>
      <c r="G120" s="251"/>
      <c r="H120" s="251" t="s">
        <v>817</v>
      </c>
      <c r="I120" s="251"/>
      <c r="J120" s="244" t="s">
        <v>686</v>
      </c>
      <c r="K120" s="251"/>
      <c r="L120" s="249" t="s">
        <v>873</v>
      </c>
      <c r="M120" s="251" t="s">
        <v>715</v>
      </c>
      <c r="N120" s="242"/>
      <c r="O120" s="249" t="s">
        <v>874</v>
      </c>
      <c r="P120" s="242"/>
      <c r="Q120" s="255" t="s">
        <v>550</v>
      </c>
      <c r="R120" s="254" t="s">
        <v>550</v>
      </c>
      <c r="S120" s="291"/>
      <c r="T120" s="249" t="s">
        <v>875</v>
      </c>
      <c r="U120" s="256" t="s">
        <v>876</v>
      </c>
      <c r="V120" s="249"/>
      <c r="W120" s="249"/>
      <c r="X120" s="253"/>
      <c r="Y120" s="255" t="s">
        <v>550</v>
      </c>
      <c r="Z120" s="255" t="s">
        <v>550</v>
      </c>
      <c r="AA120" s="257" t="s">
        <v>550</v>
      </c>
      <c r="AB120" s="257" t="s">
        <v>550</v>
      </c>
      <c r="AC120" s="257" t="s">
        <v>550</v>
      </c>
      <c r="AD120" s="255" t="s">
        <v>550</v>
      </c>
      <c r="AE120" s="257" t="s">
        <v>550</v>
      </c>
      <c r="AF120" s="255" t="s">
        <v>550</v>
      </c>
      <c r="AG120" s="253"/>
      <c r="AH120" s="258" t="s">
        <v>550</v>
      </c>
      <c r="AI120" s="258" t="s">
        <v>550</v>
      </c>
    </row>
    <row r="121" spans="1:35">
      <c r="A121" s="237">
        <v>66</v>
      </c>
      <c r="B121" s="245" t="s">
        <v>120</v>
      </c>
      <c r="C121" s="272" t="s">
        <v>877</v>
      </c>
      <c r="D121" s="259"/>
      <c r="E121" s="275">
        <v>30.026</v>
      </c>
      <c r="F121" s="243">
        <v>400000</v>
      </c>
      <c r="G121" s="243">
        <v>20</v>
      </c>
      <c r="H121" s="276">
        <v>314894</v>
      </c>
      <c r="I121" s="261">
        <v>10</v>
      </c>
      <c r="J121" s="245">
        <v>1.023E-2</v>
      </c>
      <c r="K121" s="243">
        <v>10</v>
      </c>
      <c r="L121" s="245">
        <v>1.9999999999999999E-6</v>
      </c>
      <c r="M121" s="242">
        <v>0.35</v>
      </c>
      <c r="N121" s="242">
        <f>10^M121</f>
        <v>2.2387211385683394</v>
      </c>
      <c r="O121" s="242">
        <f>LOG(37,10)</f>
        <v>1.5682017240669948</v>
      </c>
      <c r="P121" s="242">
        <f>10^O121</f>
        <v>36.999999999999993</v>
      </c>
      <c r="Q121" s="245">
        <v>13.27</v>
      </c>
      <c r="R121" s="245">
        <v>1</v>
      </c>
      <c r="S121" s="291"/>
      <c r="T121" s="245">
        <v>0.2</v>
      </c>
      <c r="U121" s="245">
        <v>8.9999999999999993E-3</v>
      </c>
      <c r="V121" s="245"/>
      <c r="W121" s="245">
        <f>0.00001/0.013</f>
        <v>7.6923076923076934E-4</v>
      </c>
      <c r="X121" s="247"/>
      <c r="Y121" s="242"/>
      <c r="Z121" s="242"/>
      <c r="AA121" s="242"/>
      <c r="AB121" s="242"/>
      <c r="AC121" s="245"/>
      <c r="AD121" s="242"/>
      <c r="AE121" s="242"/>
      <c r="AF121" s="242"/>
      <c r="AG121" s="240"/>
      <c r="AH121" s="248"/>
      <c r="AI121" s="248"/>
    </row>
    <row r="122" spans="1:35" ht="267.75">
      <c r="A122" s="237"/>
      <c r="B122" s="249"/>
      <c r="C122" s="272"/>
      <c r="D122" s="259"/>
      <c r="E122" s="250" t="s">
        <v>878</v>
      </c>
      <c r="F122" s="249" t="s">
        <v>879</v>
      </c>
      <c r="G122" s="251"/>
      <c r="H122" s="251" t="s">
        <v>880</v>
      </c>
      <c r="I122" s="251"/>
      <c r="J122" s="244" t="s">
        <v>686</v>
      </c>
      <c r="K122" s="251"/>
      <c r="L122" s="249" t="s">
        <v>881</v>
      </c>
      <c r="M122" s="249" t="s">
        <v>878</v>
      </c>
      <c r="N122" s="242"/>
      <c r="O122" s="249" t="s">
        <v>882</v>
      </c>
      <c r="P122" s="242"/>
      <c r="Q122" s="255" t="s">
        <v>883</v>
      </c>
      <c r="R122" s="254" t="s">
        <v>884</v>
      </c>
      <c r="S122" s="291"/>
      <c r="T122" s="249" t="s">
        <v>885</v>
      </c>
      <c r="U122" s="256" t="s">
        <v>886</v>
      </c>
      <c r="V122" s="249" t="s">
        <v>887</v>
      </c>
      <c r="W122" s="249" t="s">
        <v>888</v>
      </c>
      <c r="X122" s="253"/>
      <c r="Y122" s="255" t="s">
        <v>550</v>
      </c>
      <c r="Z122" s="255" t="s">
        <v>550</v>
      </c>
      <c r="AA122" s="257" t="s">
        <v>550</v>
      </c>
      <c r="AB122" s="257" t="s">
        <v>550</v>
      </c>
      <c r="AC122" s="257" t="s">
        <v>550</v>
      </c>
      <c r="AD122" s="255" t="s">
        <v>550</v>
      </c>
      <c r="AE122" s="257" t="s">
        <v>550</v>
      </c>
      <c r="AF122" s="255" t="s">
        <v>550</v>
      </c>
      <c r="AG122" s="253"/>
      <c r="AH122" s="258" t="s">
        <v>550</v>
      </c>
      <c r="AI122" s="258" t="s">
        <v>550</v>
      </c>
    </row>
    <row r="123" spans="1:35" ht="15.75">
      <c r="A123" s="237">
        <v>67</v>
      </c>
      <c r="B123" s="245" t="s">
        <v>121</v>
      </c>
      <c r="C123" s="272" t="s">
        <v>889</v>
      </c>
      <c r="D123" s="259"/>
      <c r="E123" s="275">
        <v>44.052</v>
      </c>
      <c r="F123" s="243">
        <v>1000000</v>
      </c>
      <c r="G123" s="243" t="s">
        <v>550</v>
      </c>
      <c r="H123" s="276">
        <v>92150.988873495939</v>
      </c>
      <c r="I123" s="261">
        <v>10</v>
      </c>
      <c r="J123" s="245">
        <v>2.2770000000000001</v>
      </c>
      <c r="K123" s="243">
        <v>10</v>
      </c>
      <c r="L123" s="245">
        <v>1.9999999999999999E-6</v>
      </c>
      <c r="M123" s="242">
        <v>0.45</v>
      </c>
      <c r="N123" s="242">
        <f>10^M123</f>
        <v>2.8183829312644542</v>
      </c>
      <c r="O123" s="242">
        <f>LOG(1.156,10)</f>
        <v>6.2957834084510209E-2</v>
      </c>
      <c r="P123" s="242">
        <f>10^O123</f>
        <v>1.1559999999999999</v>
      </c>
      <c r="Q123" s="245" t="s">
        <v>550</v>
      </c>
      <c r="R123" s="245" t="s">
        <v>550</v>
      </c>
      <c r="S123" s="291"/>
      <c r="T123" s="245"/>
      <c r="U123" s="245">
        <v>8.9999999999999993E-3</v>
      </c>
      <c r="V123" s="245"/>
      <c r="W123" s="245">
        <f>0.00001/0.0027</f>
        <v>3.7037037037037038E-3</v>
      </c>
      <c r="X123" s="247"/>
      <c r="Y123" s="242"/>
      <c r="Z123" s="242"/>
      <c r="AA123" s="242"/>
      <c r="AB123" s="242"/>
      <c r="AC123" s="245"/>
      <c r="AD123" s="242"/>
      <c r="AE123" s="242"/>
      <c r="AF123" s="242"/>
      <c r="AG123" s="240"/>
      <c r="AH123" s="248"/>
      <c r="AI123" s="248"/>
    </row>
    <row r="124" spans="1:35" ht="267.75">
      <c r="A124" s="237"/>
      <c r="B124" s="249"/>
      <c r="C124" s="272"/>
      <c r="D124" s="259"/>
      <c r="E124" s="250" t="s">
        <v>712</v>
      </c>
      <c r="F124" s="249" t="s">
        <v>872</v>
      </c>
      <c r="G124" s="251"/>
      <c r="H124" s="251" t="s">
        <v>817</v>
      </c>
      <c r="I124" s="251"/>
      <c r="J124" s="244" t="s">
        <v>686</v>
      </c>
      <c r="K124" s="251"/>
      <c r="L124" s="249" t="s">
        <v>881</v>
      </c>
      <c r="M124" s="251" t="s">
        <v>715</v>
      </c>
      <c r="N124" s="242"/>
      <c r="O124" s="249" t="s">
        <v>890</v>
      </c>
      <c r="P124" s="242"/>
      <c r="Q124" s="265" t="s">
        <v>550</v>
      </c>
      <c r="R124" s="265" t="s">
        <v>550</v>
      </c>
      <c r="S124" s="291"/>
      <c r="T124" s="249"/>
      <c r="U124" s="256" t="s">
        <v>891</v>
      </c>
      <c r="V124" s="249"/>
      <c r="W124" s="249" t="s">
        <v>886</v>
      </c>
      <c r="X124" s="253"/>
      <c r="Y124" s="255" t="s">
        <v>550</v>
      </c>
      <c r="Z124" s="255" t="s">
        <v>550</v>
      </c>
      <c r="AA124" s="257" t="s">
        <v>550</v>
      </c>
      <c r="AB124" s="257" t="s">
        <v>550</v>
      </c>
      <c r="AC124" s="257" t="s">
        <v>550</v>
      </c>
      <c r="AD124" s="255" t="s">
        <v>550</v>
      </c>
      <c r="AE124" s="257" t="s">
        <v>550</v>
      </c>
      <c r="AF124" s="255" t="s">
        <v>550</v>
      </c>
      <c r="AG124" s="253"/>
      <c r="AH124" s="258" t="s">
        <v>550</v>
      </c>
      <c r="AI124" s="258" t="s">
        <v>550</v>
      </c>
    </row>
    <row r="125" spans="1:35">
      <c r="A125" s="237">
        <v>68</v>
      </c>
      <c r="B125" s="238" t="s">
        <v>357</v>
      </c>
      <c r="C125" s="239" t="s">
        <v>892</v>
      </c>
      <c r="D125" s="240"/>
      <c r="E125" s="275">
        <v>73.099999999999994</v>
      </c>
      <c r="F125" s="235">
        <v>948000</v>
      </c>
      <c r="G125" s="261" t="s">
        <v>550</v>
      </c>
      <c r="H125" s="245">
        <v>380</v>
      </c>
      <c r="I125" s="243">
        <v>20</v>
      </c>
      <c r="J125" s="245">
        <v>7.4879174999999999E-3</v>
      </c>
      <c r="K125" s="243">
        <v>25</v>
      </c>
      <c r="L125" s="245"/>
      <c r="M125" s="242">
        <v>-1.01</v>
      </c>
      <c r="N125" s="242">
        <f>10^M125</f>
        <v>9.7723722095581056E-2</v>
      </c>
      <c r="O125" s="242">
        <v>-1.4</v>
      </c>
      <c r="P125" s="242">
        <f>10^O125</f>
        <v>3.9810717055349727E-2</v>
      </c>
      <c r="Q125" s="238">
        <v>-0.3</v>
      </c>
      <c r="R125" s="238">
        <v>1</v>
      </c>
      <c r="S125" s="280"/>
      <c r="T125" s="245"/>
      <c r="U125" s="245">
        <v>0.03</v>
      </c>
      <c r="V125" s="245"/>
      <c r="W125" s="245"/>
      <c r="X125" s="247"/>
      <c r="Y125" s="242"/>
      <c r="Z125" s="242"/>
      <c r="AA125" s="245"/>
      <c r="AB125" s="242"/>
      <c r="AC125" s="245"/>
      <c r="AD125" s="242"/>
      <c r="AE125" s="242"/>
      <c r="AF125" s="245"/>
      <c r="AG125" s="240"/>
      <c r="AH125" s="248"/>
      <c r="AI125" s="248"/>
    </row>
    <row r="126" spans="1:35" ht="165.75">
      <c r="A126" s="237"/>
      <c r="B126" s="249"/>
      <c r="C126" s="239"/>
      <c r="D126" s="240"/>
      <c r="E126" s="250" t="s">
        <v>893</v>
      </c>
      <c r="F126" s="256" t="s">
        <v>894</v>
      </c>
      <c r="G126" s="264"/>
      <c r="H126" s="251" t="s">
        <v>895</v>
      </c>
      <c r="I126" s="251"/>
      <c r="J126" s="244" t="s">
        <v>854</v>
      </c>
      <c r="K126" s="251"/>
      <c r="L126" s="251" t="s">
        <v>896</v>
      </c>
      <c r="M126" s="251" t="s">
        <v>897</v>
      </c>
      <c r="N126" s="242"/>
      <c r="O126" s="251" t="s">
        <v>898</v>
      </c>
      <c r="P126" s="242"/>
      <c r="Q126" s="265" t="s">
        <v>899</v>
      </c>
      <c r="R126" s="265" t="s">
        <v>900</v>
      </c>
      <c r="S126" s="281"/>
      <c r="T126" s="249"/>
      <c r="U126" s="254" t="s">
        <v>901</v>
      </c>
      <c r="V126" s="249"/>
      <c r="W126" s="249"/>
      <c r="X126" s="253"/>
      <c r="Y126" s="254"/>
      <c r="Z126" s="255" t="s">
        <v>550</v>
      </c>
      <c r="AA126" s="256"/>
      <c r="AB126" s="257" t="s">
        <v>550</v>
      </c>
      <c r="AC126" s="256"/>
      <c r="AD126" s="255"/>
      <c r="AE126" s="257"/>
      <c r="AF126" s="256"/>
      <c r="AG126" s="253"/>
      <c r="AH126" s="258" t="s">
        <v>550</v>
      </c>
      <c r="AI126" s="258" t="s">
        <v>550</v>
      </c>
    </row>
    <row r="127" spans="1:35">
      <c r="A127" s="237">
        <v>69</v>
      </c>
      <c r="B127" s="245" t="s">
        <v>216</v>
      </c>
      <c r="C127" s="239" t="s">
        <v>909</v>
      </c>
      <c r="D127" s="240"/>
      <c r="E127" s="275">
        <v>17.03</v>
      </c>
      <c r="F127" s="245">
        <v>482000</v>
      </c>
      <c r="G127" s="243">
        <v>24</v>
      </c>
      <c r="H127" s="276">
        <v>861262</v>
      </c>
      <c r="I127" s="261">
        <v>20</v>
      </c>
      <c r="J127" s="245">
        <v>1.6313325000000001</v>
      </c>
      <c r="K127" s="243">
        <v>25</v>
      </c>
      <c r="L127" s="245"/>
      <c r="M127" s="242">
        <v>0.23</v>
      </c>
      <c r="N127" s="242">
        <f>10^M127</f>
        <v>1.6982436524617444</v>
      </c>
      <c r="O127" s="242">
        <v>1.155</v>
      </c>
      <c r="P127" s="242">
        <f>10^O127</f>
        <v>14.288939585111036</v>
      </c>
      <c r="Q127" s="245">
        <v>9.25</v>
      </c>
      <c r="R127" s="245">
        <v>2</v>
      </c>
      <c r="S127" s="281"/>
      <c r="T127" s="245"/>
      <c r="U127" s="276">
        <v>7.0000000000000007E-2</v>
      </c>
      <c r="V127" s="245"/>
      <c r="W127" s="245"/>
      <c r="X127" s="247"/>
      <c r="Y127" s="242"/>
      <c r="Z127" s="242"/>
      <c r="AA127" s="245"/>
      <c r="AB127" s="242"/>
      <c r="AC127" s="245"/>
      <c r="AD127" s="242"/>
      <c r="AE127" s="242"/>
      <c r="AF127" s="245"/>
      <c r="AG127" s="240"/>
      <c r="AH127" s="248"/>
      <c r="AI127" s="248"/>
    </row>
    <row r="128" spans="1:35" ht="89.25">
      <c r="A128" s="237"/>
      <c r="B128" s="283"/>
      <c r="C128" s="239"/>
      <c r="D128" s="240"/>
      <c r="E128" s="250" t="s">
        <v>857</v>
      </c>
      <c r="F128" s="249" t="s">
        <v>910</v>
      </c>
      <c r="G128" s="251"/>
      <c r="H128" s="251" t="s">
        <v>911</v>
      </c>
      <c r="I128" s="251"/>
      <c r="J128" s="244" t="s">
        <v>854</v>
      </c>
      <c r="K128" s="251"/>
      <c r="L128" s="251" t="s">
        <v>896</v>
      </c>
      <c r="M128" s="251" t="s">
        <v>708</v>
      </c>
      <c r="N128" s="242"/>
      <c r="O128" s="249" t="s">
        <v>708</v>
      </c>
      <c r="P128" s="242"/>
      <c r="Q128" s="265" t="s">
        <v>912</v>
      </c>
      <c r="R128" s="265" t="s">
        <v>913</v>
      </c>
      <c r="S128" s="286"/>
      <c r="T128" s="249"/>
      <c r="U128" s="249" t="s">
        <v>708</v>
      </c>
      <c r="V128" s="249"/>
      <c r="W128" s="249"/>
      <c r="X128" s="253"/>
      <c r="Y128" s="254"/>
      <c r="Z128" s="255" t="s">
        <v>550</v>
      </c>
      <c r="AA128" s="256"/>
      <c r="AB128" s="257" t="s">
        <v>550</v>
      </c>
      <c r="AC128" s="256"/>
      <c r="AD128" s="255" t="s">
        <v>550</v>
      </c>
      <c r="AE128" s="257" t="s">
        <v>550</v>
      </c>
      <c r="AF128" s="256"/>
      <c r="AG128" s="253"/>
      <c r="AH128" s="258" t="s">
        <v>550</v>
      </c>
      <c r="AI128" s="258" t="s">
        <v>550</v>
      </c>
    </row>
    <row r="129" spans="1:35">
      <c r="A129" s="237">
        <v>70</v>
      </c>
      <c r="B129" s="245" t="s">
        <v>218</v>
      </c>
      <c r="C129" s="272" t="s">
        <v>914</v>
      </c>
      <c r="D129" s="259"/>
      <c r="E129" s="275">
        <v>20.010000000000002</v>
      </c>
      <c r="F129" s="245">
        <v>1000000</v>
      </c>
      <c r="G129" s="243" t="s">
        <v>550</v>
      </c>
      <c r="H129" s="276">
        <v>69951</v>
      </c>
      <c r="I129" s="261">
        <v>10</v>
      </c>
      <c r="J129" s="245">
        <v>10.537800000000001</v>
      </c>
      <c r="K129" s="243">
        <v>25</v>
      </c>
      <c r="L129" s="245"/>
      <c r="M129" s="242">
        <v>-1.4</v>
      </c>
      <c r="N129" s="242">
        <f>10^M129</f>
        <v>3.9810717055349727E-2</v>
      </c>
      <c r="O129" s="242"/>
      <c r="P129" s="242"/>
      <c r="Q129" s="245">
        <v>3.2</v>
      </c>
      <c r="R129" s="245">
        <v>1</v>
      </c>
      <c r="S129" s="281"/>
      <c r="T129" s="245">
        <v>0.04</v>
      </c>
      <c r="U129" s="245">
        <v>1E-3</v>
      </c>
      <c r="V129" s="245"/>
      <c r="W129" s="245"/>
      <c r="X129" s="247"/>
      <c r="Y129" s="242"/>
      <c r="Z129" s="242"/>
      <c r="AA129" s="245"/>
      <c r="AB129" s="242"/>
      <c r="AC129" s="245"/>
      <c r="AD129" s="242"/>
      <c r="AE129" s="242"/>
      <c r="AF129" s="245"/>
      <c r="AG129" s="240"/>
      <c r="AH129" s="248"/>
      <c r="AI129" s="248"/>
    </row>
    <row r="130" spans="1:35" ht="76.5">
      <c r="A130" s="237"/>
      <c r="B130" s="249"/>
      <c r="C130" s="272"/>
      <c r="D130" s="259"/>
      <c r="E130" s="250" t="s">
        <v>915</v>
      </c>
      <c r="F130" s="249" t="s">
        <v>916</v>
      </c>
      <c r="G130" s="251"/>
      <c r="H130" s="251" t="s">
        <v>917</v>
      </c>
      <c r="I130" s="251"/>
      <c r="J130" s="244" t="s">
        <v>854</v>
      </c>
      <c r="K130" s="251"/>
      <c r="L130" s="251" t="s">
        <v>896</v>
      </c>
      <c r="M130" s="251" t="s">
        <v>918</v>
      </c>
      <c r="N130" s="242"/>
      <c r="O130" s="251" t="s">
        <v>896</v>
      </c>
      <c r="P130" s="242"/>
      <c r="Q130" s="265" t="s">
        <v>919</v>
      </c>
      <c r="R130" s="265" t="s">
        <v>920</v>
      </c>
      <c r="S130" s="281"/>
      <c r="T130" s="249" t="s">
        <v>819</v>
      </c>
      <c r="U130" s="254" t="s">
        <v>921</v>
      </c>
      <c r="V130" s="249"/>
      <c r="W130" s="249"/>
      <c r="X130" s="253"/>
      <c r="Y130" s="254"/>
      <c r="Z130" s="255" t="s">
        <v>550</v>
      </c>
      <c r="AA130" s="256"/>
      <c r="AB130" s="257" t="s">
        <v>550</v>
      </c>
      <c r="AC130" s="256"/>
      <c r="AD130" s="255" t="s">
        <v>550</v>
      </c>
      <c r="AE130" s="257" t="s">
        <v>550</v>
      </c>
      <c r="AF130" s="256"/>
      <c r="AG130" s="253"/>
      <c r="AH130" s="258" t="s">
        <v>550</v>
      </c>
      <c r="AI130" s="258" t="s">
        <v>550</v>
      </c>
    </row>
    <row r="131" spans="1:35">
      <c r="A131" s="237">
        <v>76</v>
      </c>
      <c r="B131" s="245" t="s">
        <v>80</v>
      </c>
      <c r="C131" s="239" t="s">
        <v>902</v>
      </c>
      <c r="D131" s="240"/>
      <c r="E131" s="275">
        <v>60.1</v>
      </c>
      <c r="F131" s="245">
        <v>1000000</v>
      </c>
      <c r="G131" s="243" t="s">
        <v>550</v>
      </c>
      <c r="H131" s="276">
        <v>2266</v>
      </c>
      <c r="I131" s="261">
        <v>10</v>
      </c>
      <c r="J131" s="245">
        <v>0.52100000000000002</v>
      </c>
      <c r="K131" s="243">
        <v>20</v>
      </c>
      <c r="L131" s="245"/>
      <c r="M131" s="242">
        <v>0.05</v>
      </c>
      <c r="N131" s="242">
        <f>10^M131</f>
        <v>1.1220184543019636</v>
      </c>
      <c r="O131" s="242">
        <v>-0.34</v>
      </c>
      <c r="P131" s="242">
        <f>10^O131</f>
        <v>0.45708818961487502</v>
      </c>
      <c r="Q131" s="245">
        <v>17.100000000000001</v>
      </c>
      <c r="R131" s="245">
        <v>1</v>
      </c>
      <c r="S131" s="281"/>
      <c r="T131" s="245"/>
      <c r="U131" s="276">
        <v>7</v>
      </c>
      <c r="V131" s="245"/>
      <c r="W131" s="245"/>
      <c r="X131" s="247"/>
      <c r="Y131" s="242"/>
      <c r="Z131" s="242"/>
      <c r="AA131" s="245"/>
      <c r="AB131" s="242"/>
      <c r="AC131" s="245"/>
      <c r="AD131" s="242"/>
      <c r="AE131" s="242"/>
      <c r="AF131" s="245"/>
      <c r="AG131" s="240"/>
      <c r="AH131" s="248"/>
      <c r="AI131" s="248"/>
    </row>
    <row r="132" spans="1:35" ht="255">
      <c r="A132" s="237"/>
      <c r="B132" s="283"/>
      <c r="C132" s="239"/>
      <c r="D132" s="240"/>
      <c r="E132" s="250" t="s">
        <v>857</v>
      </c>
      <c r="F132" s="249" t="s">
        <v>904</v>
      </c>
      <c r="G132" s="251"/>
      <c r="H132" s="251" t="s">
        <v>905</v>
      </c>
      <c r="I132" s="251"/>
      <c r="J132" s="244" t="s">
        <v>686</v>
      </c>
      <c r="K132" s="251"/>
      <c r="L132" s="251" t="s">
        <v>896</v>
      </c>
      <c r="M132" s="251" t="s">
        <v>906</v>
      </c>
      <c r="N132" s="242"/>
      <c r="O132" s="251" t="s">
        <v>898</v>
      </c>
      <c r="P132" s="242"/>
      <c r="Q132" s="265" t="s">
        <v>907</v>
      </c>
      <c r="R132" s="265" t="s">
        <v>908</v>
      </c>
      <c r="S132" s="286"/>
      <c r="T132" s="249"/>
      <c r="U132" s="249" t="s">
        <v>819</v>
      </c>
      <c r="V132" s="249"/>
      <c r="W132" s="249"/>
      <c r="X132" s="253"/>
      <c r="Y132" s="254"/>
      <c r="Z132" s="255" t="s">
        <v>550</v>
      </c>
      <c r="AA132" s="256"/>
      <c r="AB132" s="257" t="s">
        <v>550</v>
      </c>
      <c r="AC132" s="256"/>
      <c r="AD132" s="255" t="s">
        <v>550</v>
      </c>
      <c r="AE132" s="257" t="s">
        <v>550</v>
      </c>
      <c r="AF132" s="256"/>
      <c r="AG132" s="253"/>
      <c r="AH132" s="258" t="s">
        <v>550</v>
      </c>
      <c r="AI132" s="258" t="s">
        <v>550</v>
      </c>
    </row>
    <row r="133" spans="1:35">
      <c r="A133" s="237">
        <v>77</v>
      </c>
      <c r="B133" s="245" t="s">
        <v>81</v>
      </c>
      <c r="C133" s="272" t="s">
        <v>930</v>
      </c>
      <c r="D133" s="259"/>
      <c r="E133" s="275">
        <v>32.042000000000002</v>
      </c>
      <c r="F133" s="245">
        <v>1000000</v>
      </c>
      <c r="G133" s="243" t="s">
        <v>550</v>
      </c>
      <c r="H133" s="276">
        <v>4088.8</v>
      </c>
      <c r="I133" s="261">
        <v>10</v>
      </c>
      <c r="J133" s="245">
        <v>0.33400000000000002</v>
      </c>
      <c r="K133" s="243">
        <v>20</v>
      </c>
      <c r="L133" s="245"/>
      <c r="M133" s="242">
        <v>-0.74</v>
      </c>
      <c r="N133" s="242">
        <f>10^M133</f>
        <v>0.18197008586099833</v>
      </c>
      <c r="O133" s="242">
        <v>-1.1299999999999999</v>
      </c>
      <c r="P133" s="242">
        <f>10^O133</f>
        <v>7.4131024130091761E-2</v>
      </c>
      <c r="Q133" s="245">
        <v>15.5</v>
      </c>
      <c r="R133" s="293">
        <v>2</v>
      </c>
      <c r="S133" s="291"/>
      <c r="T133" s="245">
        <v>2</v>
      </c>
      <c r="U133" s="245">
        <v>4</v>
      </c>
      <c r="V133" s="245"/>
      <c r="W133" s="245"/>
      <c r="X133" s="247"/>
      <c r="Y133" s="242"/>
      <c r="Z133" s="242"/>
      <c r="AA133" s="245"/>
      <c r="AB133" s="242"/>
      <c r="AC133" s="245"/>
      <c r="AD133" s="242"/>
      <c r="AE133" s="242"/>
      <c r="AF133" s="245"/>
      <c r="AG133" s="240"/>
      <c r="AH133" s="248"/>
      <c r="AI133" s="248"/>
    </row>
    <row r="134" spans="1:35" ht="76.5">
      <c r="A134" s="237"/>
      <c r="B134" s="249"/>
      <c r="C134" s="272"/>
      <c r="D134" s="259"/>
      <c r="E134" s="250" t="s">
        <v>857</v>
      </c>
      <c r="F134" s="249" t="s">
        <v>931</v>
      </c>
      <c r="G134" s="251"/>
      <c r="H134" s="251" t="s">
        <v>932</v>
      </c>
      <c r="I134" s="251"/>
      <c r="J134" s="244" t="s">
        <v>686</v>
      </c>
      <c r="K134" s="251"/>
      <c r="L134" s="249"/>
      <c r="M134" s="249" t="s">
        <v>857</v>
      </c>
      <c r="N134" s="242"/>
      <c r="O134" s="251" t="s">
        <v>898</v>
      </c>
      <c r="P134" s="242"/>
      <c r="Q134" s="249" t="s">
        <v>857</v>
      </c>
      <c r="R134" s="265" t="s">
        <v>550</v>
      </c>
      <c r="S134" s="292"/>
      <c r="T134" s="254" t="s">
        <v>933</v>
      </c>
      <c r="U134" s="256" t="s">
        <v>934</v>
      </c>
      <c r="V134" s="249"/>
      <c r="W134" s="249"/>
      <c r="X134" s="253"/>
      <c r="Y134" s="254"/>
      <c r="Z134" s="255" t="s">
        <v>550</v>
      </c>
      <c r="AA134" s="256"/>
      <c r="AB134" s="257" t="s">
        <v>550</v>
      </c>
      <c r="AC134" s="256"/>
      <c r="AD134" s="255" t="s">
        <v>550</v>
      </c>
      <c r="AE134" s="257" t="s">
        <v>550</v>
      </c>
      <c r="AF134" s="256"/>
      <c r="AG134" s="253"/>
      <c r="AH134" s="258" t="s">
        <v>550</v>
      </c>
      <c r="AI134" s="258" t="s">
        <v>550</v>
      </c>
    </row>
    <row r="135" spans="1:35">
      <c r="A135" s="237">
        <v>78</v>
      </c>
      <c r="B135" s="245" t="s">
        <v>58</v>
      </c>
      <c r="C135" s="272" t="s">
        <v>940</v>
      </c>
      <c r="D135" s="259"/>
      <c r="E135" s="275">
        <v>72.105999999999995</v>
      </c>
      <c r="F135" s="245">
        <v>310000</v>
      </c>
      <c r="G135" s="243">
        <v>9.6</v>
      </c>
      <c r="H135" s="276">
        <v>2383.4</v>
      </c>
      <c r="I135" s="261">
        <v>10</v>
      </c>
      <c r="J135" s="245">
        <v>2.0680000000000001</v>
      </c>
      <c r="K135" s="243">
        <v>10</v>
      </c>
      <c r="L135" s="245"/>
      <c r="M135" s="235">
        <v>0.28999999999999998</v>
      </c>
      <c r="N135" s="242">
        <f>10^M135</f>
        <v>1.9498445997580454</v>
      </c>
      <c r="O135" s="235">
        <v>1.5</v>
      </c>
      <c r="P135" s="242">
        <f>10^O135</f>
        <v>31.622776601683803</v>
      </c>
      <c r="Q135" s="238">
        <v>14.7</v>
      </c>
      <c r="R135" s="238">
        <v>2</v>
      </c>
      <c r="S135" s="291"/>
      <c r="T135" s="245">
        <v>0.6</v>
      </c>
      <c r="U135" s="245">
        <v>5</v>
      </c>
      <c r="V135" s="245"/>
      <c r="W135" s="245"/>
      <c r="X135" s="247"/>
      <c r="Y135" s="242"/>
      <c r="Z135" s="242"/>
      <c r="AA135" s="245"/>
      <c r="AB135" s="242"/>
      <c r="AC135" s="245"/>
      <c r="AD135" s="242"/>
      <c r="AE135" s="242"/>
      <c r="AF135" s="245"/>
      <c r="AG135" s="240"/>
      <c r="AH135" s="248"/>
      <c r="AI135" s="248"/>
    </row>
    <row r="136" spans="1:35" ht="89.25">
      <c r="A136" s="237"/>
      <c r="B136" s="249"/>
      <c r="C136" s="272"/>
      <c r="D136" s="259"/>
      <c r="E136" s="250" t="s">
        <v>857</v>
      </c>
      <c r="F136" s="249" t="s">
        <v>941</v>
      </c>
      <c r="G136" s="251"/>
      <c r="H136" s="251" t="s">
        <v>942</v>
      </c>
      <c r="I136" s="251"/>
      <c r="J136" s="244" t="s">
        <v>686</v>
      </c>
      <c r="K136" s="251"/>
      <c r="L136" s="249"/>
      <c r="M136" s="249" t="s">
        <v>943</v>
      </c>
      <c r="N136" s="242"/>
      <c r="O136" s="249" t="s">
        <v>944</v>
      </c>
      <c r="P136" s="242"/>
      <c r="Q136" s="265" t="s">
        <v>945</v>
      </c>
      <c r="R136" s="265" t="s">
        <v>550</v>
      </c>
      <c r="S136" s="292"/>
      <c r="T136" s="254" t="s">
        <v>946</v>
      </c>
      <c r="U136" s="256" t="s">
        <v>946</v>
      </c>
      <c r="V136" s="249"/>
      <c r="W136" s="249"/>
      <c r="X136" s="253"/>
      <c r="Y136" s="254"/>
      <c r="Z136" s="255"/>
      <c r="AA136" s="256"/>
      <c r="AB136" s="257"/>
      <c r="AC136" s="256"/>
      <c r="AD136" s="255"/>
      <c r="AE136" s="257"/>
      <c r="AF136" s="256"/>
      <c r="AG136" s="253"/>
      <c r="AH136" s="258"/>
      <c r="AI136" s="258"/>
    </row>
    <row r="137" spans="1:35">
      <c r="A137" s="237">
        <v>79</v>
      </c>
      <c r="B137" s="245" t="s">
        <v>61</v>
      </c>
      <c r="C137" s="272" t="s">
        <v>947</v>
      </c>
      <c r="D137" s="259"/>
      <c r="E137" s="275">
        <v>58.079000000000001</v>
      </c>
      <c r="F137" s="245">
        <v>1000000</v>
      </c>
      <c r="G137" s="243" t="s">
        <v>550</v>
      </c>
      <c r="H137" s="276">
        <v>9627.2000000000007</v>
      </c>
      <c r="I137" s="261">
        <v>10</v>
      </c>
      <c r="J137" s="245">
        <v>1.421</v>
      </c>
      <c r="K137" s="243">
        <v>10</v>
      </c>
      <c r="L137" s="245"/>
      <c r="M137" s="242">
        <v>-0.24</v>
      </c>
      <c r="N137" s="242">
        <f>10^M137</f>
        <v>0.57543993733715693</v>
      </c>
      <c r="O137" s="242">
        <v>-0.63</v>
      </c>
      <c r="P137" s="242">
        <f>10^O137</f>
        <v>0.23442288153199217</v>
      </c>
      <c r="Q137" s="238" t="s">
        <v>550</v>
      </c>
      <c r="R137" s="238" t="s">
        <v>550</v>
      </c>
      <c r="S137" s="291"/>
      <c r="T137" s="245">
        <v>0.9</v>
      </c>
      <c r="U137" s="245">
        <f>13*2.411</f>
        <v>31.343</v>
      </c>
      <c r="V137" s="245"/>
      <c r="W137" s="245"/>
      <c r="X137" s="247"/>
      <c r="Y137" s="235"/>
      <c r="Z137" s="242"/>
      <c r="AA137" s="235"/>
      <c r="AB137" s="242"/>
      <c r="AC137" s="235"/>
      <c r="AD137" s="242"/>
      <c r="AE137" s="235"/>
      <c r="AF137" s="245"/>
      <c r="AG137" s="240"/>
      <c r="AH137" s="248"/>
      <c r="AI137" s="248"/>
    </row>
    <row r="138" spans="1:35" ht="89.25">
      <c r="A138" s="237"/>
      <c r="B138" s="249"/>
      <c r="C138" s="272"/>
      <c r="D138" s="259"/>
      <c r="E138" s="250" t="s">
        <v>857</v>
      </c>
      <c r="F138" s="249" t="s">
        <v>948</v>
      </c>
      <c r="G138" s="251"/>
      <c r="H138" s="251" t="s">
        <v>942</v>
      </c>
      <c r="I138" s="251"/>
      <c r="J138" s="244" t="s">
        <v>686</v>
      </c>
      <c r="K138" s="251"/>
      <c r="L138" s="249"/>
      <c r="M138" s="249" t="s">
        <v>943</v>
      </c>
      <c r="N138" s="242"/>
      <c r="O138" s="251" t="s">
        <v>898</v>
      </c>
      <c r="P138" s="242"/>
      <c r="Q138" s="265" t="s">
        <v>949</v>
      </c>
      <c r="R138" s="265" t="s">
        <v>550</v>
      </c>
      <c r="S138" s="292"/>
      <c r="T138" s="254" t="s">
        <v>950</v>
      </c>
      <c r="U138" s="256" t="s">
        <v>951</v>
      </c>
      <c r="V138" s="249"/>
      <c r="W138" s="249"/>
      <c r="X138" s="253"/>
      <c r="Y138" s="256"/>
      <c r="Z138" s="255"/>
      <c r="AA138" s="256"/>
      <c r="AB138" s="257"/>
      <c r="AC138" s="256"/>
      <c r="AD138" s="255"/>
      <c r="AE138" s="256"/>
      <c r="AF138" s="256"/>
      <c r="AG138" s="253"/>
      <c r="AH138" s="258"/>
      <c r="AI138" s="258"/>
    </row>
    <row r="139" spans="1:35">
      <c r="A139" s="237">
        <v>80</v>
      </c>
      <c r="B139" s="245" t="s">
        <v>189</v>
      </c>
      <c r="C139" s="272" t="s">
        <v>952</v>
      </c>
      <c r="D139" s="259"/>
      <c r="E139" s="275">
        <v>222.11600000000001</v>
      </c>
      <c r="F139" s="245">
        <v>59.7</v>
      </c>
      <c r="G139" s="243">
        <v>25</v>
      </c>
      <c r="H139" s="276">
        <v>5.4659999999999998E-7</v>
      </c>
      <c r="I139" s="261" t="s">
        <v>550</v>
      </c>
      <c r="J139" s="245">
        <v>2.0265E-6</v>
      </c>
      <c r="K139" s="243">
        <v>25</v>
      </c>
      <c r="L139" s="245"/>
      <c r="M139" s="242">
        <v>0.87</v>
      </c>
      <c r="N139" s="242">
        <f>10^M139</f>
        <v>7.4131024130091765</v>
      </c>
      <c r="O139" s="242">
        <v>0.48</v>
      </c>
      <c r="P139" s="242">
        <f>10^O139</f>
        <v>3.0199517204020165</v>
      </c>
      <c r="Q139" s="238" t="s">
        <v>550</v>
      </c>
      <c r="R139" s="238" t="s">
        <v>550</v>
      </c>
      <c r="S139" s="291"/>
      <c r="T139" s="245">
        <v>3.0000000000000001E-3</v>
      </c>
      <c r="U139" s="245"/>
      <c r="V139" s="245">
        <f>0.00001/0.11</f>
        <v>9.0909090909090917E-5</v>
      </c>
      <c r="W139" s="245"/>
      <c r="X139" s="247"/>
      <c r="Y139" s="235"/>
      <c r="Z139" s="242"/>
      <c r="AA139" s="235"/>
      <c r="AB139" s="242"/>
      <c r="AC139" s="235"/>
      <c r="AD139" s="242"/>
      <c r="AE139" s="235"/>
      <c r="AF139" s="245"/>
      <c r="AG139" s="240"/>
      <c r="AH139" s="248"/>
      <c r="AI139" s="248"/>
    </row>
    <row r="140" spans="1:35" ht="51">
      <c r="A140" s="237"/>
      <c r="B140" s="249"/>
      <c r="C140" s="272"/>
      <c r="D140" s="259"/>
      <c r="E140" s="250" t="s">
        <v>903</v>
      </c>
      <c r="F140" s="249" t="s">
        <v>954</v>
      </c>
      <c r="G140" s="251"/>
      <c r="H140" s="251" t="s">
        <v>955</v>
      </c>
      <c r="I140" s="251"/>
      <c r="J140" s="244" t="s">
        <v>854</v>
      </c>
      <c r="K140" s="251"/>
      <c r="L140" s="249"/>
      <c r="M140" s="249" t="s">
        <v>953</v>
      </c>
      <c r="N140" s="242"/>
      <c r="O140" s="251" t="s">
        <v>898</v>
      </c>
      <c r="P140" s="242"/>
      <c r="Q140" s="265" t="s">
        <v>550</v>
      </c>
      <c r="R140" s="265" t="s">
        <v>550</v>
      </c>
      <c r="S140" s="292"/>
      <c r="T140" s="254" t="s">
        <v>956</v>
      </c>
      <c r="U140" s="256"/>
      <c r="V140" s="249" t="s">
        <v>957</v>
      </c>
      <c r="W140" s="249"/>
      <c r="X140" s="253"/>
      <c r="Y140" s="256"/>
      <c r="Z140" s="255"/>
      <c r="AA140" s="256"/>
      <c r="AB140" s="257"/>
      <c r="AC140" s="256"/>
      <c r="AD140" s="255"/>
      <c r="AE140" s="256"/>
      <c r="AF140" s="256"/>
      <c r="AG140" s="253"/>
      <c r="AH140" s="258"/>
      <c r="AI140" s="258"/>
    </row>
    <row r="141" spans="1:35">
      <c r="A141" s="237">
        <v>81</v>
      </c>
      <c r="B141" s="245" t="s">
        <v>191</v>
      </c>
      <c r="C141" s="272" t="s">
        <v>958</v>
      </c>
      <c r="D141" s="259"/>
      <c r="E141" s="275">
        <v>227.131</v>
      </c>
      <c r="F141" s="245">
        <v>67</v>
      </c>
      <c r="G141" s="243">
        <v>10</v>
      </c>
      <c r="H141" s="276">
        <v>3.0200000000000002E-4</v>
      </c>
      <c r="I141" s="261">
        <v>14</v>
      </c>
      <c r="J141" s="245">
        <v>2.1278249999999999E-3</v>
      </c>
      <c r="K141" s="243">
        <v>25</v>
      </c>
      <c r="L141" s="245"/>
      <c r="M141" s="242">
        <v>1.79</v>
      </c>
      <c r="N141" s="242">
        <f>10^M141</f>
        <v>61.659500186148257</v>
      </c>
      <c r="O141" s="242">
        <v>1.4</v>
      </c>
      <c r="P141" s="242">
        <f>10^O141</f>
        <v>25.118864315095799</v>
      </c>
      <c r="Q141" s="238" t="s">
        <v>550</v>
      </c>
      <c r="R141" s="238" t="s">
        <v>550</v>
      </c>
      <c r="S141" s="291"/>
      <c r="T141" s="245">
        <v>5.0000000000000001E-4</v>
      </c>
      <c r="U141" s="245"/>
      <c r="V141" s="245">
        <f>0.00001/0.03</f>
        <v>3.3333333333333338E-4</v>
      </c>
      <c r="W141" s="245"/>
      <c r="X141" s="247"/>
      <c r="Y141" s="235"/>
      <c r="Z141" s="242"/>
      <c r="AA141" s="235"/>
      <c r="AB141" s="242"/>
      <c r="AC141" s="235"/>
      <c r="AD141" s="242"/>
      <c r="AE141" s="235"/>
      <c r="AF141" s="245"/>
      <c r="AG141" s="240"/>
      <c r="AH141" s="248"/>
      <c r="AI141" s="248"/>
    </row>
    <row r="142" spans="1:35" ht="127.5">
      <c r="A142" s="237"/>
      <c r="B142" s="249"/>
      <c r="C142" s="272"/>
      <c r="D142" s="259"/>
      <c r="E142" s="250" t="s">
        <v>857</v>
      </c>
      <c r="F142" s="249" t="s">
        <v>959</v>
      </c>
      <c r="G142" s="251"/>
      <c r="H142" s="251" t="s">
        <v>960</v>
      </c>
      <c r="I142" s="251"/>
      <c r="J142" s="244" t="s">
        <v>854</v>
      </c>
      <c r="K142" s="251"/>
      <c r="L142" s="249"/>
      <c r="M142" s="249" t="s">
        <v>961</v>
      </c>
      <c r="N142" s="242"/>
      <c r="O142" s="251" t="s">
        <v>898</v>
      </c>
      <c r="P142" s="242"/>
      <c r="Q142" s="265" t="s">
        <v>550</v>
      </c>
      <c r="R142" s="265" t="s">
        <v>550</v>
      </c>
      <c r="S142" s="292"/>
      <c r="T142" s="254" t="s">
        <v>962</v>
      </c>
      <c r="U142" s="256"/>
      <c r="V142" s="249" t="s">
        <v>963</v>
      </c>
      <c r="W142" s="249"/>
      <c r="X142" s="253"/>
      <c r="Y142" s="256"/>
      <c r="Z142" s="255"/>
      <c r="AA142" s="256"/>
      <c r="AB142" s="257"/>
      <c r="AC142" s="256"/>
      <c r="AD142" s="255"/>
      <c r="AE142" s="256"/>
      <c r="AF142" s="256"/>
      <c r="AG142" s="253"/>
      <c r="AH142" s="258"/>
      <c r="AI142" s="258"/>
    </row>
    <row r="143" spans="1:35">
      <c r="A143" s="237">
        <v>82</v>
      </c>
      <c r="B143" s="245" t="s">
        <v>192</v>
      </c>
      <c r="C143" s="272" t="s">
        <v>964</v>
      </c>
      <c r="D143" s="259"/>
      <c r="E143" s="275">
        <v>296.15600000000001</v>
      </c>
      <c r="F143" s="245">
        <v>6.63</v>
      </c>
      <c r="G143" s="243">
        <v>20</v>
      </c>
      <c r="H143" s="276">
        <v>3.2100000000000002E-6</v>
      </c>
      <c r="I143" s="261" t="s">
        <v>550</v>
      </c>
      <c r="J143" s="245">
        <v>8.7848774999999996E-5</v>
      </c>
      <c r="K143" s="243">
        <v>25</v>
      </c>
      <c r="L143" s="245"/>
      <c r="M143" s="242">
        <v>0.16</v>
      </c>
      <c r="N143" s="242">
        <f>10^M143</f>
        <v>1.4454397707459274</v>
      </c>
      <c r="O143" s="242">
        <v>-0.23</v>
      </c>
      <c r="P143" s="242">
        <f>10^O143</f>
        <v>0.58884365535558891</v>
      </c>
      <c r="Q143" s="238" t="s">
        <v>550</v>
      </c>
      <c r="R143" s="238" t="s">
        <v>550</v>
      </c>
      <c r="S143" s="291"/>
      <c r="T143" s="245">
        <v>0.05</v>
      </c>
      <c r="U143" s="245"/>
      <c r="V143" s="245"/>
      <c r="W143" s="245"/>
      <c r="X143" s="247"/>
      <c r="Y143" s="235"/>
      <c r="Z143" s="242"/>
      <c r="AA143" s="235"/>
      <c r="AB143" s="242"/>
      <c r="AC143" s="235"/>
      <c r="AD143" s="242"/>
      <c r="AE143" s="235"/>
      <c r="AF143" s="245"/>
      <c r="AG143" s="240"/>
      <c r="AH143" s="248"/>
      <c r="AI143" s="248"/>
    </row>
    <row r="144" spans="1:35" ht="63.75">
      <c r="A144" s="237"/>
      <c r="B144" s="249"/>
      <c r="C144" s="272"/>
      <c r="D144" s="259"/>
      <c r="E144" s="250" t="s">
        <v>857</v>
      </c>
      <c r="F144" s="249" t="s">
        <v>965</v>
      </c>
      <c r="G144" s="251"/>
      <c r="H144" s="251" t="s">
        <v>966</v>
      </c>
      <c r="I144" s="251"/>
      <c r="J144" s="244" t="s">
        <v>854</v>
      </c>
      <c r="K144" s="251"/>
      <c r="L144" s="249"/>
      <c r="M144" s="249" t="s">
        <v>903</v>
      </c>
      <c r="N144" s="242"/>
      <c r="O144" s="251" t="s">
        <v>898</v>
      </c>
      <c r="P144" s="242"/>
      <c r="Q144" s="265" t="s">
        <v>550</v>
      </c>
      <c r="R144" s="265" t="s">
        <v>550</v>
      </c>
      <c r="S144" s="292"/>
      <c r="T144" s="254" t="s">
        <v>967</v>
      </c>
      <c r="U144" s="256"/>
      <c r="V144" s="249"/>
      <c r="W144" s="249"/>
      <c r="X144" s="253"/>
      <c r="Y144" s="256"/>
      <c r="Z144" s="255"/>
      <c r="AA144" s="256"/>
      <c r="AB144" s="257"/>
      <c r="AC144" s="256"/>
      <c r="AD144" s="255"/>
      <c r="AE144" s="256"/>
      <c r="AF144" s="256"/>
      <c r="AG144" s="253"/>
      <c r="AH144" s="258"/>
      <c r="AI144" s="258"/>
    </row>
    <row r="145" spans="1:35">
      <c r="A145" s="237">
        <v>83</v>
      </c>
      <c r="B145" s="245" t="s">
        <v>365</v>
      </c>
      <c r="C145" s="272" t="s">
        <v>968</v>
      </c>
      <c r="D145" s="259"/>
      <c r="E145" s="275">
        <v>169.22200000000001</v>
      </c>
      <c r="F145" s="245">
        <v>55</v>
      </c>
      <c r="G145" s="243">
        <v>20</v>
      </c>
      <c r="H145" s="276">
        <v>8.8999999999999996E-2</v>
      </c>
      <c r="I145" s="261" t="s">
        <v>550</v>
      </c>
      <c r="J145" s="245">
        <v>3.5000000000000003E-2</v>
      </c>
      <c r="K145" s="243">
        <v>25</v>
      </c>
      <c r="L145" s="245"/>
      <c r="M145" s="242">
        <v>3.44</v>
      </c>
      <c r="N145" s="242">
        <f>10^M145</f>
        <v>2754.228703338169</v>
      </c>
      <c r="O145" s="242">
        <v>2.93</v>
      </c>
      <c r="P145" s="242">
        <f>10^O145</f>
        <v>851.13803820237763</v>
      </c>
      <c r="Q145" s="238">
        <v>0.79</v>
      </c>
      <c r="R145" s="238">
        <v>1</v>
      </c>
      <c r="S145" s="291"/>
      <c r="T145" s="245">
        <v>2.5000000000000001E-2</v>
      </c>
      <c r="U145" s="245"/>
      <c r="V145" s="245"/>
      <c r="W145" s="245"/>
      <c r="X145" s="247"/>
      <c r="Y145" s="235"/>
      <c r="Z145" s="242"/>
      <c r="AA145" s="235"/>
      <c r="AB145" s="242"/>
      <c r="AC145" s="235"/>
      <c r="AD145" s="242"/>
      <c r="AE145" s="235"/>
      <c r="AF145" s="245"/>
      <c r="AG145" s="240"/>
      <c r="AH145" s="248"/>
      <c r="AI145" s="248"/>
    </row>
    <row r="146" spans="1:35" ht="127.5">
      <c r="A146" s="237"/>
      <c r="B146" s="249"/>
      <c r="C146" s="272"/>
      <c r="D146" s="259"/>
      <c r="E146" s="250" t="s">
        <v>857</v>
      </c>
      <c r="F146" s="249" t="s">
        <v>969</v>
      </c>
      <c r="G146" s="251"/>
      <c r="H146" s="251" t="s">
        <v>970</v>
      </c>
      <c r="I146" s="251"/>
      <c r="J146" s="244" t="s">
        <v>686</v>
      </c>
      <c r="K146" s="251"/>
      <c r="L146" s="249"/>
      <c r="M146" s="249" t="s">
        <v>857</v>
      </c>
      <c r="N146" s="242"/>
      <c r="O146" s="249" t="s">
        <v>971</v>
      </c>
      <c r="P146" s="242"/>
      <c r="Q146" s="265" t="s">
        <v>972</v>
      </c>
      <c r="R146" s="265" t="s">
        <v>550</v>
      </c>
      <c r="S146" s="292"/>
      <c r="T146" s="254" t="s">
        <v>939</v>
      </c>
      <c r="U146" s="256"/>
      <c r="V146" s="249"/>
      <c r="W146" s="249"/>
      <c r="X146" s="253"/>
      <c r="Y146" s="256"/>
      <c r="Z146" s="255"/>
      <c r="AA146" s="256"/>
      <c r="AB146" s="257"/>
      <c r="AC146" s="256"/>
      <c r="AD146" s="255"/>
      <c r="AE146" s="256"/>
      <c r="AF146" s="256"/>
      <c r="AG146" s="253"/>
      <c r="AH146" s="258"/>
      <c r="AI146" s="258"/>
    </row>
    <row r="147" spans="1:35">
      <c r="A147" s="237">
        <v>84</v>
      </c>
      <c r="B147" s="245" t="s">
        <v>193</v>
      </c>
      <c r="C147" s="272" t="s">
        <v>973</v>
      </c>
      <c r="D147" s="259"/>
      <c r="E147" s="275">
        <v>213.10400000000001</v>
      </c>
      <c r="F147" s="245">
        <v>280</v>
      </c>
      <c r="G147" s="243">
        <v>15</v>
      </c>
      <c r="H147" s="276">
        <v>4.2660000000000002E-4</v>
      </c>
      <c r="I147" s="261" t="s">
        <v>550</v>
      </c>
      <c r="J147" s="245">
        <v>6.5759925000000001E-4</v>
      </c>
      <c r="K147" s="243">
        <v>25</v>
      </c>
      <c r="L147" s="245"/>
      <c r="M147" s="242">
        <v>1.18</v>
      </c>
      <c r="N147" s="242">
        <f>10^M147</f>
        <v>15.135612484362087</v>
      </c>
      <c r="O147" s="242">
        <v>0.79</v>
      </c>
      <c r="P147" s="242">
        <f>10^O147</f>
        <v>6.1659500186148231</v>
      </c>
      <c r="Q147" s="238" t="s">
        <v>550</v>
      </c>
      <c r="R147" s="238" t="s">
        <v>550</v>
      </c>
      <c r="S147" s="291"/>
      <c r="T147" s="245">
        <v>0.03</v>
      </c>
      <c r="U147" s="245"/>
      <c r="V147" s="245"/>
      <c r="W147" s="245"/>
      <c r="X147" s="247"/>
      <c r="Y147" s="235"/>
      <c r="Z147" s="242"/>
      <c r="AA147" s="235"/>
      <c r="AB147" s="242"/>
      <c r="AC147" s="235"/>
      <c r="AD147" s="242"/>
      <c r="AE147" s="235"/>
      <c r="AF147" s="245"/>
      <c r="AG147" s="240"/>
      <c r="AH147" s="248"/>
      <c r="AI147" s="248"/>
    </row>
    <row r="148" spans="1:35" ht="90.75" customHeight="1">
      <c r="A148" s="237"/>
      <c r="B148" s="249"/>
      <c r="C148" s="272"/>
      <c r="D148" s="259"/>
      <c r="E148" s="250" t="s">
        <v>857</v>
      </c>
      <c r="F148" s="249" t="s">
        <v>974</v>
      </c>
      <c r="G148" s="251"/>
      <c r="H148" s="251" t="s">
        <v>975</v>
      </c>
      <c r="I148" s="251"/>
      <c r="J148" s="244" t="s">
        <v>854</v>
      </c>
      <c r="K148" s="251"/>
      <c r="L148" s="249"/>
      <c r="M148" s="249" t="s">
        <v>976</v>
      </c>
      <c r="N148" s="242"/>
      <c r="O148" s="251" t="s">
        <v>898</v>
      </c>
      <c r="P148" s="242"/>
      <c r="Q148" s="265" t="s">
        <v>550</v>
      </c>
      <c r="R148" s="265" t="s">
        <v>550</v>
      </c>
      <c r="S148" s="292"/>
      <c r="T148" s="254" t="s">
        <v>977</v>
      </c>
      <c r="U148" s="256"/>
      <c r="V148" s="249"/>
      <c r="W148" s="249"/>
      <c r="X148" s="253"/>
      <c r="Y148" s="256"/>
      <c r="Z148" s="255"/>
      <c r="AA148" s="256"/>
      <c r="AB148" s="257"/>
      <c r="AC148" s="256"/>
      <c r="AD148" s="255"/>
      <c r="AE148" s="256"/>
      <c r="AF148" s="256"/>
      <c r="AG148" s="253"/>
      <c r="AH148" s="258"/>
      <c r="AI148" s="258"/>
    </row>
    <row r="149" spans="1:35">
      <c r="A149" s="237">
        <v>85</v>
      </c>
      <c r="B149" s="245" t="s">
        <v>62</v>
      </c>
      <c r="C149" s="272" t="s">
        <v>978</v>
      </c>
      <c r="D149" s="259"/>
      <c r="E149" s="275">
        <v>41.052</v>
      </c>
      <c r="F149" s="245">
        <v>1000000</v>
      </c>
      <c r="G149" s="243" t="s">
        <v>550</v>
      </c>
      <c r="H149" s="276">
        <v>5869</v>
      </c>
      <c r="I149" s="261" t="s">
        <v>550</v>
      </c>
      <c r="J149" s="245">
        <v>1.55</v>
      </c>
      <c r="K149" s="243">
        <v>20</v>
      </c>
      <c r="L149" s="245"/>
      <c r="M149" s="242">
        <v>-0.34</v>
      </c>
      <c r="N149" s="242">
        <f>10^M149</f>
        <v>0.45708818961487502</v>
      </c>
      <c r="O149" s="242">
        <v>-0.73</v>
      </c>
      <c r="P149" s="242">
        <f>10^O149</f>
        <v>0.18620871366628672</v>
      </c>
      <c r="Q149" s="238" t="s">
        <v>550</v>
      </c>
      <c r="R149" s="238" t="s">
        <v>550</v>
      </c>
      <c r="S149" s="291"/>
      <c r="T149" s="245"/>
      <c r="U149" s="245">
        <v>0.06</v>
      </c>
      <c r="V149" s="245"/>
      <c r="W149" s="245"/>
      <c r="X149" s="247"/>
      <c r="Y149" s="235"/>
      <c r="Z149" s="242"/>
      <c r="AA149" s="235"/>
      <c r="AB149" s="242"/>
      <c r="AC149" s="235"/>
      <c r="AD149" s="242"/>
      <c r="AE149" s="235"/>
      <c r="AF149" s="245"/>
      <c r="AG149" s="240"/>
      <c r="AH149" s="248"/>
      <c r="AI149" s="248"/>
    </row>
    <row r="150" spans="1:35" ht="127.5">
      <c r="A150" s="237"/>
      <c r="B150" s="249"/>
      <c r="C150" s="272"/>
      <c r="D150" s="259"/>
      <c r="E150" s="250" t="s">
        <v>857</v>
      </c>
      <c r="F150" s="249" t="s">
        <v>979</v>
      </c>
      <c r="G150" s="251"/>
      <c r="H150" s="251" t="s">
        <v>980</v>
      </c>
      <c r="I150" s="251"/>
      <c r="J150" s="244" t="s">
        <v>686</v>
      </c>
      <c r="K150" s="251"/>
      <c r="L150" s="249"/>
      <c r="M150" s="249" t="s">
        <v>981</v>
      </c>
      <c r="N150" s="242"/>
      <c r="O150" s="251" t="s">
        <v>898</v>
      </c>
      <c r="P150" s="242"/>
      <c r="Q150" s="265" t="s">
        <v>982</v>
      </c>
      <c r="R150" s="265" t="s">
        <v>550</v>
      </c>
      <c r="S150" s="292"/>
      <c r="T150" s="254"/>
      <c r="U150" s="256" t="s">
        <v>983</v>
      </c>
      <c r="V150" s="249"/>
      <c r="W150" s="249"/>
      <c r="X150" s="253"/>
      <c r="Y150" s="256"/>
      <c r="Z150" s="255"/>
      <c r="AA150" s="256"/>
      <c r="AB150" s="257"/>
      <c r="AC150" s="256"/>
      <c r="AD150" s="255"/>
      <c r="AE150" s="256"/>
      <c r="AF150" s="256"/>
      <c r="AG150" s="253"/>
      <c r="AH150" s="258"/>
      <c r="AI150" s="258"/>
    </row>
    <row r="151" spans="1:35">
      <c r="A151" s="310">
        <v>88</v>
      </c>
      <c r="B151" s="310" t="s">
        <v>368</v>
      </c>
      <c r="C151" s="310" t="s">
        <v>1500</v>
      </c>
      <c r="E151" s="310"/>
      <c r="F151" s="310"/>
      <c r="G151" s="310"/>
      <c r="H151" s="310"/>
      <c r="I151" s="310"/>
      <c r="J151" s="311">
        <v>8.8199999999999997E-3</v>
      </c>
      <c r="K151" s="310">
        <v>25</v>
      </c>
      <c r="L151" s="310"/>
      <c r="M151" s="310"/>
      <c r="N151" s="310"/>
      <c r="O151" s="310"/>
      <c r="P151" s="310"/>
      <c r="Q151" s="310"/>
      <c r="R151" s="310"/>
      <c r="T151" s="310"/>
      <c r="U151" s="310"/>
      <c r="V151" s="310"/>
      <c r="W151" s="310"/>
      <c r="Y151" s="312"/>
      <c r="Z151" s="312"/>
      <c r="AA151" s="312"/>
      <c r="AB151" s="312"/>
      <c r="AC151" s="312"/>
      <c r="AD151" s="312"/>
      <c r="AE151" s="312"/>
      <c r="AF151" s="312"/>
      <c r="AH151" s="310"/>
      <c r="AI151" s="310"/>
    </row>
    <row r="152" spans="1:35">
      <c r="A152" s="310"/>
      <c r="B152" s="310"/>
      <c r="C152" s="310"/>
      <c r="E152" s="310"/>
      <c r="F152" s="310"/>
      <c r="G152" s="310"/>
      <c r="H152" s="310"/>
      <c r="I152" s="310"/>
      <c r="J152" s="311" t="s">
        <v>1499</v>
      </c>
      <c r="K152" s="310"/>
      <c r="L152" s="310"/>
      <c r="M152" s="310"/>
      <c r="N152" s="310"/>
      <c r="O152" s="310"/>
      <c r="P152" s="310"/>
      <c r="Q152" s="310"/>
      <c r="R152" s="310"/>
      <c r="T152" s="310"/>
      <c r="U152" s="310"/>
      <c r="V152" s="310"/>
      <c r="W152" s="310"/>
      <c r="Y152" s="312"/>
      <c r="Z152" s="312"/>
      <c r="AA152" s="312"/>
      <c r="AB152" s="312"/>
      <c r="AC152" s="312"/>
      <c r="AD152" s="312"/>
      <c r="AE152" s="312"/>
      <c r="AF152" s="312"/>
      <c r="AH152" s="310"/>
      <c r="AI152" s="310"/>
    </row>
    <row r="153" spans="1:35">
      <c r="A153" s="310">
        <v>89</v>
      </c>
      <c r="B153" s="310" t="s">
        <v>369</v>
      </c>
      <c r="C153" s="310" t="s">
        <v>1509</v>
      </c>
      <c r="E153" s="310"/>
      <c r="F153" s="310"/>
      <c r="G153" s="310"/>
      <c r="H153" s="310"/>
      <c r="I153" s="310"/>
      <c r="J153" s="311">
        <v>1.34E-4</v>
      </c>
      <c r="K153" s="310">
        <v>25</v>
      </c>
      <c r="L153" s="310"/>
      <c r="M153" s="310"/>
      <c r="N153" s="310"/>
      <c r="O153" s="310">
        <v>1.99</v>
      </c>
      <c r="P153" s="242">
        <f>10^O153</f>
        <v>97.723722095581124</v>
      </c>
      <c r="Q153" s="310"/>
      <c r="R153" s="310"/>
      <c r="T153" s="310"/>
      <c r="U153" s="310"/>
      <c r="V153" s="310"/>
      <c r="W153" s="310"/>
      <c r="Y153" s="312"/>
      <c r="Z153" s="312"/>
      <c r="AA153" s="312"/>
      <c r="AB153" s="312"/>
      <c r="AC153" s="312"/>
      <c r="AD153" s="312"/>
      <c r="AE153" s="312"/>
      <c r="AF153" s="312"/>
      <c r="AH153" s="310"/>
      <c r="AI153" s="310"/>
    </row>
    <row r="154" spans="1:35" ht="38.25">
      <c r="A154" s="310"/>
      <c r="B154" s="310"/>
      <c r="C154" s="310"/>
      <c r="E154" s="310"/>
      <c r="F154" s="310"/>
      <c r="G154" s="310"/>
      <c r="H154" s="310"/>
      <c r="I154" s="310"/>
      <c r="J154" s="311" t="s">
        <v>903</v>
      </c>
      <c r="K154" s="310"/>
      <c r="L154" s="310"/>
      <c r="M154" s="237"/>
      <c r="N154" s="310"/>
      <c r="O154" s="237" t="s">
        <v>1510</v>
      </c>
      <c r="P154" s="310"/>
      <c r="Q154" s="310"/>
      <c r="R154" s="310"/>
      <c r="T154" s="310"/>
      <c r="U154" s="310"/>
      <c r="V154" s="310"/>
      <c r="W154" s="310"/>
      <c r="Y154" s="312"/>
      <c r="Z154" s="312"/>
      <c r="AA154" s="312"/>
      <c r="AB154" s="312"/>
      <c r="AC154" s="312"/>
      <c r="AD154" s="312"/>
      <c r="AE154" s="312"/>
      <c r="AF154" s="312"/>
      <c r="AH154" s="310"/>
      <c r="AI154" s="310"/>
    </row>
    <row r="155" spans="1:35">
      <c r="A155" s="237">
        <v>90</v>
      </c>
      <c r="B155" s="245" t="s">
        <v>48</v>
      </c>
      <c r="C155" s="239" t="s">
        <v>922</v>
      </c>
      <c r="D155" s="240"/>
      <c r="E155" s="275">
        <v>167.84899999999999</v>
      </c>
      <c r="F155" s="261">
        <v>2830</v>
      </c>
      <c r="G155" s="261">
        <v>10</v>
      </c>
      <c r="H155" s="276">
        <v>347.24</v>
      </c>
      <c r="I155" s="261">
        <v>10</v>
      </c>
      <c r="J155" s="245">
        <v>33.44</v>
      </c>
      <c r="K155" s="243">
        <v>10</v>
      </c>
      <c r="L155" s="245"/>
      <c r="M155" s="242">
        <v>2.39</v>
      </c>
      <c r="N155" s="242">
        <f>10^M155</f>
        <v>245.4708915685033</v>
      </c>
      <c r="O155" s="242">
        <v>2.06</v>
      </c>
      <c r="P155" s="242">
        <f>10^O155</f>
        <v>114.81536214968835</v>
      </c>
      <c r="Q155" s="245" t="s">
        <v>550</v>
      </c>
      <c r="R155" s="245" t="s">
        <v>550</v>
      </c>
      <c r="S155" s="281"/>
      <c r="T155" s="245">
        <v>0.02</v>
      </c>
      <c r="U155" s="245"/>
      <c r="V155" s="245">
        <f>0.00001/0.2</f>
        <v>5.0000000000000002E-5</v>
      </c>
      <c r="W155" s="245">
        <f>0.00001/0.058</f>
        <v>1.7241379310344829E-4</v>
      </c>
      <c r="X155" s="247"/>
      <c r="Y155" s="242"/>
      <c r="Z155" s="242"/>
      <c r="AA155" s="245"/>
      <c r="AB155" s="242"/>
      <c r="AC155" s="245"/>
      <c r="AD155" s="242"/>
      <c r="AE155" s="242"/>
      <c r="AF155" s="245"/>
      <c r="AG155" s="240"/>
      <c r="AH155" s="248"/>
      <c r="AI155" s="248"/>
    </row>
    <row r="156" spans="1:35" ht="114.75">
      <c r="A156" s="237"/>
      <c r="B156" s="249"/>
      <c r="C156" s="239"/>
      <c r="D156" s="240"/>
      <c r="E156" s="250" t="s">
        <v>857</v>
      </c>
      <c r="F156" s="249" t="s">
        <v>923</v>
      </c>
      <c r="G156" s="251"/>
      <c r="H156" s="251" t="s">
        <v>924</v>
      </c>
      <c r="I156" s="251"/>
      <c r="J156" s="244" t="s">
        <v>686</v>
      </c>
      <c r="K156" s="251"/>
      <c r="L156" s="249"/>
      <c r="M156" s="249" t="s">
        <v>925</v>
      </c>
      <c r="N156" s="242"/>
      <c r="O156" s="249" t="s">
        <v>926</v>
      </c>
      <c r="P156" s="242"/>
      <c r="Q156" s="265" t="s">
        <v>550</v>
      </c>
      <c r="R156" s="265" t="s">
        <v>550</v>
      </c>
      <c r="S156" s="281"/>
      <c r="T156" s="249" t="s">
        <v>927</v>
      </c>
      <c r="U156" s="256"/>
      <c r="V156" s="254" t="s">
        <v>928</v>
      </c>
      <c r="W156" s="249" t="s">
        <v>929</v>
      </c>
      <c r="X156" s="253"/>
      <c r="Y156" s="254"/>
      <c r="Z156" s="255" t="s">
        <v>550</v>
      </c>
      <c r="AA156" s="256"/>
      <c r="AB156" s="257" t="s">
        <v>550</v>
      </c>
      <c r="AC156" s="256"/>
      <c r="AD156" s="255" t="s">
        <v>550</v>
      </c>
      <c r="AE156" s="257" t="s">
        <v>550</v>
      </c>
      <c r="AF156" s="256"/>
      <c r="AG156" s="253"/>
      <c r="AH156" s="258" t="s">
        <v>550</v>
      </c>
      <c r="AI156" s="258" t="s">
        <v>550</v>
      </c>
    </row>
    <row r="157" spans="1:35">
      <c r="A157" s="237">
        <v>91</v>
      </c>
      <c r="B157" s="245" t="s">
        <v>57</v>
      </c>
      <c r="C157" s="272" t="s">
        <v>935</v>
      </c>
      <c r="D157" s="259"/>
      <c r="E157" s="275">
        <v>74.120999999999995</v>
      </c>
      <c r="F157" s="245">
        <v>89000</v>
      </c>
      <c r="G157" s="243">
        <v>10</v>
      </c>
      <c r="H157" s="276">
        <v>384.01</v>
      </c>
      <c r="I157" s="261">
        <v>10</v>
      </c>
      <c r="J157" s="245">
        <v>0.53</v>
      </c>
      <c r="K157" s="243">
        <v>20</v>
      </c>
      <c r="L157" s="245"/>
      <c r="M157" s="235">
        <v>0.84</v>
      </c>
      <c r="N157" s="242">
        <f>10^M157</f>
        <v>6.9183097091893666</v>
      </c>
      <c r="O157" s="235">
        <v>0.62</v>
      </c>
      <c r="P157" s="242">
        <f>10^O157</f>
        <v>4.1686938347033546</v>
      </c>
      <c r="Q157" s="238">
        <v>20.89</v>
      </c>
      <c r="R157" s="238">
        <v>2</v>
      </c>
      <c r="S157" s="291"/>
      <c r="T157" s="245">
        <v>0.1</v>
      </c>
      <c r="U157" s="245"/>
      <c r="V157" s="245"/>
      <c r="W157" s="245"/>
      <c r="X157" s="247"/>
      <c r="Y157" s="242"/>
      <c r="Z157" s="242"/>
      <c r="AA157" s="245"/>
      <c r="AB157" s="242"/>
      <c r="AC157" s="245"/>
      <c r="AD157" s="242"/>
      <c r="AE157" s="242"/>
      <c r="AF157" s="245"/>
      <c r="AG157" s="240"/>
      <c r="AH157" s="248"/>
      <c r="AI157" s="248"/>
    </row>
    <row r="158" spans="1:35" ht="63.75">
      <c r="A158" s="237"/>
      <c r="B158" s="249"/>
      <c r="C158" s="272"/>
      <c r="D158" s="259"/>
      <c r="E158" s="250" t="s">
        <v>857</v>
      </c>
      <c r="F158" s="249" t="s">
        <v>936</v>
      </c>
      <c r="G158" s="251"/>
      <c r="H158" s="251" t="s">
        <v>937</v>
      </c>
      <c r="I158" s="251"/>
      <c r="J158" s="244" t="s">
        <v>686</v>
      </c>
      <c r="K158" s="251"/>
      <c r="L158" s="249"/>
      <c r="M158" s="249" t="s">
        <v>857</v>
      </c>
      <c r="N158" s="242"/>
      <c r="O158" s="249" t="s">
        <v>926</v>
      </c>
      <c r="P158" s="242"/>
      <c r="Q158" s="249" t="s">
        <v>938</v>
      </c>
      <c r="R158" s="265" t="s">
        <v>550</v>
      </c>
      <c r="S158" s="292"/>
      <c r="T158" s="254" t="s">
        <v>939</v>
      </c>
      <c r="U158" s="256"/>
      <c r="V158" s="249"/>
      <c r="W158" s="249"/>
      <c r="X158" s="253"/>
      <c r="Y158" s="254"/>
      <c r="Z158" s="255"/>
      <c r="AA158" s="256"/>
      <c r="AB158" s="257"/>
      <c r="AC158" s="256"/>
      <c r="AD158" s="255"/>
      <c r="AE158" s="257"/>
      <c r="AF158" s="256"/>
      <c r="AG158" s="253"/>
      <c r="AH158" s="258"/>
      <c r="AI158" s="258"/>
    </row>
    <row r="159" spans="1:35">
      <c r="A159" s="310">
        <v>92</v>
      </c>
      <c r="B159" s="310" t="s">
        <v>370</v>
      </c>
      <c r="C159" s="310" t="s">
        <v>799</v>
      </c>
      <c r="E159" s="531"/>
      <c r="F159" s="531"/>
      <c r="G159" s="531"/>
      <c r="H159" s="531"/>
      <c r="I159" s="531"/>
      <c r="J159" s="525">
        <v>529</v>
      </c>
      <c r="K159" s="531">
        <v>20</v>
      </c>
      <c r="L159" s="531"/>
      <c r="M159" s="524"/>
      <c r="N159" s="531"/>
      <c r="O159" s="524">
        <v>3.28</v>
      </c>
      <c r="P159" s="476">
        <f>10^O159</f>
        <v>1905.4607179632485</v>
      </c>
      <c r="Q159" s="531"/>
      <c r="R159" s="531"/>
      <c r="T159" s="531"/>
      <c r="U159" s="531"/>
      <c r="V159" s="531"/>
      <c r="W159" s="531"/>
      <c r="Y159" s="312"/>
      <c r="Z159" s="312"/>
      <c r="AA159" s="312"/>
      <c r="AB159" s="312"/>
      <c r="AC159" s="312"/>
      <c r="AD159" s="312"/>
      <c r="AE159" s="312"/>
      <c r="AF159" s="312"/>
      <c r="AH159" s="310"/>
      <c r="AI159" s="310"/>
    </row>
    <row r="160" spans="1:35">
      <c r="A160" s="310"/>
      <c r="B160" s="310"/>
      <c r="C160" s="310"/>
      <c r="E160" s="531"/>
      <c r="F160" s="531"/>
      <c r="G160" s="531"/>
      <c r="H160" s="531"/>
      <c r="I160" s="531"/>
      <c r="J160" s="525" t="s">
        <v>686</v>
      </c>
      <c r="K160" s="531"/>
      <c r="L160" s="531"/>
      <c r="M160" s="524"/>
      <c r="N160" s="531"/>
      <c r="O160" s="524" t="s">
        <v>686</v>
      </c>
      <c r="P160" s="531"/>
      <c r="Q160" s="531"/>
      <c r="R160" s="531"/>
      <c r="T160" s="531"/>
      <c r="U160" s="531"/>
      <c r="V160" s="531"/>
      <c r="W160" s="531"/>
      <c r="Y160" s="312"/>
      <c r="Z160" s="312"/>
      <c r="AA160" s="312"/>
      <c r="AB160" s="312"/>
      <c r="AC160" s="312"/>
      <c r="AD160" s="312"/>
      <c r="AE160" s="312"/>
      <c r="AF160" s="312"/>
      <c r="AH160" s="310"/>
      <c r="AI160" s="310"/>
    </row>
    <row r="161" spans="1:35">
      <c r="A161" s="310">
        <v>93</v>
      </c>
      <c r="B161" s="310" t="s">
        <v>371</v>
      </c>
      <c r="C161" s="310" t="s">
        <v>799</v>
      </c>
      <c r="E161" s="531"/>
      <c r="F161" s="531"/>
      <c r="G161" s="531"/>
      <c r="H161" s="531"/>
      <c r="I161" s="531"/>
      <c r="J161" s="525">
        <v>597</v>
      </c>
      <c r="K161" s="531">
        <v>20</v>
      </c>
      <c r="L161" s="531"/>
      <c r="M161" s="524"/>
      <c r="N161" s="531"/>
      <c r="O161" s="524">
        <v>2.8</v>
      </c>
      <c r="P161" s="476">
        <f>10^O161</f>
        <v>630.95734448019323</v>
      </c>
      <c r="Q161" s="531"/>
      <c r="R161" s="531"/>
      <c r="T161" s="531"/>
      <c r="U161" s="531"/>
      <c r="V161" s="531"/>
      <c r="W161" s="531"/>
      <c r="Y161" s="312"/>
      <c r="Z161" s="312"/>
      <c r="AA161" s="312"/>
      <c r="AB161" s="312"/>
      <c r="AC161" s="312"/>
      <c r="AD161" s="312"/>
      <c r="AE161" s="312"/>
      <c r="AF161" s="312"/>
      <c r="AH161" s="310"/>
      <c r="AI161" s="310"/>
    </row>
    <row r="162" spans="1:35" ht="48" customHeight="1">
      <c r="A162" s="310"/>
      <c r="B162" s="310"/>
      <c r="C162" s="310"/>
      <c r="E162" s="531"/>
      <c r="F162" s="531"/>
      <c r="G162" s="531"/>
      <c r="H162" s="531"/>
      <c r="I162" s="531"/>
      <c r="J162" s="525" t="s">
        <v>686</v>
      </c>
      <c r="K162" s="531"/>
      <c r="L162" s="531"/>
      <c r="M162" s="524"/>
      <c r="N162" s="531"/>
      <c r="O162" s="524" t="s">
        <v>1517</v>
      </c>
      <c r="P162" s="531"/>
      <c r="Q162" s="531"/>
      <c r="R162" s="531"/>
      <c r="T162" s="531"/>
      <c r="U162" s="531"/>
      <c r="V162" s="531"/>
      <c r="W162" s="531"/>
      <c r="Y162" s="312"/>
      <c r="Z162" s="312"/>
      <c r="AA162" s="312"/>
      <c r="AB162" s="312"/>
      <c r="AC162" s="312"/>
      <c r="AD162" s="312"/>
      <c r="AE162" s="312"/>
      <c r="AF162" s="312"/>
      <c r="AH162" s="310"/>
      <c r="AI162" s="310"/>
    </row>
    <row r="163" spans="1:35">
      <c r="A163" s="310">
        <v>94</v>
      </c>
      <c r="B163" s="310" t="s">
        <v>372</v>
      </c>
      <c r="C163" s="310" t="s">
        <v>1511</v>
      </c>
      <c r="E163" s="310"/>
      <c r="F163" s="310"/>
      <c r="G163" s="310"/>
      <c r="H163" s="310"/>
      <c r="I163" s="310"/>
      <c r="J163" s="311">
        <v>1823.8</v>
      </c>
      <c r="K163" s="310">
        <v>25</v>
      </c>
      <c r="L163" s="310"/>
      <c r="M163" s="237"/>
      <c r="N163" s="310"/>
      <c r="O163" s="237">
        <v>3.6</v>
      </c>
      <c r="P163" s="242">
        <f>10^O163</f>
        <v>3981.0717055349769</v>
      </c>
      <c r="Q163" s="310"/>
      <c r="R163" s="310"/>
      <c r="T163" s="310"/>
      <c r="U163" s="310"/>
      <c r="V163" s="310"/>
      <c r="W163" s="310"/>
      <c r="Y163" s="312"/>
      <c r="Z163" s="312"/>
      <c r="AA163" s="312"/>
      <c r="AB163" s="312"/>
      <c r="AC163" s="312"/>
      <c r="AD163" s="312"/>
      <c r="AE163" s="312"/>
      <c r="AF163" s="312"/>
      <c r="AH163" s="310"/>
      <c r="AI163" s="310"/>
    </row>
    <row r="164" spans="1:35">
      <c r="A164" s="310"/>
      <c r="B164" s="310"/>
      <c r="C164" s="310"/>
      <c r="E164" s="310"/>
      <c r="F164" s="310"/>
      <c r="G164" s="310"/>
      <c r="H164" s="310"/>
      <c r="I164" s="310"/>
      <c r="J164" s="311" t="s">
        <v>903</v>
      </c>
      <c r="K164" s="310"/>
      <c r="L164" s="310"/>
      <c r="M164" s="237"/>
      <c r="N164" s="310"/>
      <c r="O164" s="237" t="s">
        <v>686</v>
      </c>
      <c r="P164" s="310"/>
      <c r="Q164" s="310"/>
      <c r="R164" s="310"/>
      <c r="T164" s="310"/>
      <c r="U164" s="310"/>
      <c r="V164" s="310"/>
      <c r="W164" s="310"/>
      <c r="Y164" s="312"/>
      <c r="Z164" s="312"/>
      <c r="AA164" s="312"/>
      <c r="AB164" s="312"/>
      <c r="AC164" s="312"/>
      <c r="AD164" s="312"/>
      <c r="AE164" s="312"/>
      <c r="AF164" s="312"/>
      <c r="AH164" s="310"/>
      <c r="AI164" s="310"/>
    </row>
    <row r="165" spans="1:35">
      <c r="A165" s="310">
        <v>95</v>
      </c>
      <c r="B165" s="310" t="s">
        <v>373</v>
      </c>
      <c r="C165" s="310" t="s">
        <v>1511</v>
      </c>
      <c r="E165" s="310"/>
      <c r="F165" s="310"/>
      <c r="G165" s="310"/>
      <c r="H165" s="310"/>
      <c r="I165" s="310"/>
      <c r="J165" s="311">
        <v>1300</v>
      </c>
      <c r="K165" s="310">
        <v>25</v>
      </c>
      <c r="L165" s="310"/>
      <c r="M165" s="237"/>
      <c r="N165" s="310"/>
      <c r="O165" s="237">
        <v>3.72</v>
      </c>
      <c r="P165" s="242">
        <f>10^O165</f>
        <v>5248.0746024977352</v>
      </c>
      <c r="Q165" s="310"/>
      <c r="R165" s="310"/>
      <c r="T165" s="310"/>
      <c r="U165" s="310"/>
      <c r="V165" s="310"/>
      <c r="W165" s="310"/>
      <c r="Y165" s="312"/>
      <c r="Z165" s="312"/>
      <c r="AA165" s="312"/>
      <c r="AB165" s="312"/>
      <c r="AC165" s="312"/>
      <c r="AD165" s="312"/>
      <c r="AE165" s="312"/>
      <c r="AF165" s="312"/>
      <c r="AH165" s="310"/>
      <c r="AI165" s="310"/>
    </row>
    <row r="166" spans="1:35" ht="38.25">
      <c r="A166" s="310"/>
      <c r="B166" s="310"/>
      <c r="C166" s="310"/>
      <c r="E166" s="310"/>
      <c r="F166" s="310"/>
      <c r="G166" s="310"/>
      <c r="H166" s="310"/>
      <c r="I166" s="310"/>
      <c r="J166" s="311" t="s">
        <v>686</v>
      </c>
      <c r="K166" s="310"/>
      <c r="L166" s="310"/>
      <c r="M166" s="237"/>
      <c r="N166" s="310"/>
      <c r="O166" s="237" t="s">
        <v>1518</v>
      </c>
      <c r="P166" s="310"/>
      <c r="Q166" s="310"/>
      <c r="R166" s="310"/>
      <c r="T166" s="310"/>
      <c r="U166" s="310"/>
      <c r="V166" s="310"/>
      <c r="W166" s="310"/>
      <c r="Y166" s="312"/>
      <c r="Z166" s="312"/>
      <c r="AA166" s="312"/>
      <c r="AB166" s="312"/>
      <c r="AC166" s="312"/>
      <c r="AD166" s="312"/>
      <c r="AE166" s="312"/>
      <c r="AF166" s="312"/>
      <c r="AH166" s="310"/>
      <c r="AI166" s="310"/>
    </row>
    <row r="167" spans="1:35">
      <c r="A167" s="310">
        <v>100</v>
      </c>
      <c r="B167" s="310" t="s">
        <v>378</v>
      </c>
      <c r="C167" s="310" t="s">
        <v>799</v>
      </c>
      <c r="E167" s="310"/>
      <c r="F167" s="310"/>
      <c r="G167" s="310"/>
      <c r="H167" s="310"/>
      <c r="I167" s="310"/>
      <c r="J167" s="311">
        <v>5.7599999999999998E-2</v>
      </c>
      <c r="K167" s="310">
        <v>10</v>
      </c>
      <c r="L167" s="310"/>
      <c r="M167" s="310"/>
      <c r="N167" s="310"/>
      <c r="O167" s="310"/>
      <c r="P167" s="310"/>
      <c r="Q167" s="310"/>
      <c r="R167" s="310"/>
      <c r="T167" s="310"/>
      <c r="U167" s="310"/>
      <c r="V167" s="310"/>
      <c r="W167" s="310"/>
      <c r="Y167" s="312"/>
      <c r="Z167" s="312"/>
      <c r="AA167" s="312"/>
      <c r="AB167" s="312"/>
      <c r="AC167" s="312"/>
      <c r="AD167" s="312"/>
      <c r="AE167" s="312"/>
      <c r="AF167" s="312"/>
      <c r="AH167" s="310"/>
      <c r="AI167" s="310"/>
    </row>
    <row r="168" spans="1:35">
      <c r="A168" s="310"/>
      <c r="B168" s="310"/>
      <c r="C168" s="310"/>
      <c r="E168" s="310"/>
      <c r="F168" s="310"/>
      <c r="G168" s="310"/>
      <c r="H168" s="310"/>
      <c r="I168" s="310"/>
      <c r="J168" s="263" t="s">
        <v>686</v>
      </c>
      <c r="K168" s="310"/>
      <c r="L168" s="310"/>
      <c r="M168" s="310"/>
      <c r="N168" s="310"/>
      <c r="O168" s="310"/>
      <c r="P168" s="310"/>
      <c r="Q168" s="310"/>
      <c r="R168" s="310"/>
      <c r="T168" s="310"/>
      <c r="U168" s="310"/>
      <c r="V168" s="310"/>
      <c r="W168" s="310"/>
      <c r="Y168" s="312"/>
      <c r="Z168" s="312"/>
      <c r="AA168" s="312"/>
      <c r="AB168" s="312"/>
      <c r="AC168" s="312"/>
      <c r="AD168" s="312"/>
      <c r="AE168" s="312"/>
      <c r="AF168" s="312"/>
      <c r="AH168" s="310"/>
      <c r="AI168" s="310"/>
    </row>
    <row r="169" spans="1:35" ht="24" customHeight="1">
      <c r="A169" s="310">
        <v>101</v>
      </c>
      <c r="B169" s="310" t="s">
        <v>379</v>
      </c>
      <c r="C169" s="310" t="s">
        <v>1511</v>
      </c>
      <c r="E169" s="310"/>
      <c r="F169" s="310"/>
      <c r="G169" s="310"/>
      <c r="H169" s="310"/>
      <c r="I169" s="310"/>
      <c r="J169" s="263">
        <v>1502</v>
      </c>
      <c r="K169" s="310">
        <v>25</v>
      </c>
      <c r="L169" s="310"/>
      <c r="M169" s="310"/>
      <c r="N169" s="310"/>
      <c r="O169" s="310">
        <v>3.35</v>
      </c>
      <c r="P169" s="242">
        <f>10^O169</f>
        <v>2238.7211385683418</v>
      </c>
      <c r="Q169" s="310"/>
      <c r="R169" s="310"/>
      <c r="T169" s="310"/>
      <c r="U169" s="310"/>
      <c r="V169" s="310"/>
      <c r="W169" s="310"/>
      <c r="Y169" s="312"/>
      <c r="Z169" s="312"/>
      <c r="AA169" s="312"/>
      <c r="AB169" s="312"/>
      <c r="AC169" s="312"/>
      <c r="AD169" s="312"/>
      <c r="AE169" s="312"/>
      <c r="AF169" s="312"/>
      <c r="AH169" s="310"/>
      <c r="AI169" s="310"/>
    </row>
    <row r="170" spans="1:35" ht="51" customHeight="1">
      <c r="A170" s="310"/>
      <c r="B170" s="310"/>
      <c r="C170" s="310"/>
      <c r="E170" s="310"/>
      <c r="F170" s="310"/>
      <c r="G170" s="310"/>
      <c r="H170" s="310"/>
      <c r="I170" s="310"/>
      <c r="J170" s="263" t="s">
        <v>686</v>
      </c>
      <c r="K170" s="310"/>
      <c r="L170" s="310"/>
      <c r="M170" s="237"/>
      <c r="N170" s="310"/>
      <c r="O170" s="237" t="s">
        <v>1512</v>
      </c>
      <c r="P170" s="310"/>
      <c r="Q170" s="310"/>
      <c r="R170" s="310"/>
      <c r="T170" s="310"/>
      <c r="U170" s="310"/>
      <c r="V170" s="310"/>
      <c r="W170" s="310"/>
      <c r="Y170" s="312"/>
      <c r="Z170" s="312"/>
      <c r="AA170" s="312"/>
      <c r="AB170" s="312"/>
      <c r="AC170" s="312"/>
      <c r="AD170" s="312"/>
      <c r="AE170" s="312"/>
      <c r="AF170" s="312"/>
      <c r="AH170" s="310"/>
      <c r="AI170" s="310"/>
    </row>
    <row r="171" spans="1:35" ht="15.75">
      <c r="A171" s="237">
        <v>102</v>
      </c>
      <c r="B171" s="238" t="s">
        <v>113</v>
      </c>
      <c r="C171" s="239" t="s">
        <v>984</v>
      </c>
      <c r="D171" s="240"/>
      <c r="E171" s="241">
        <v>312.36</v>
      </c>
      <c r="F171" s="242">
        <v>2.82</v>
      </c>
      <c r="G171" s="243">
        <v>20</v>
      </c>
      <c r="H171" s="294">
        <v>1.15E-3</v>
      </c>
      <c r="I171" s="243">
        <v>20</v>
      </c>
      <c r="J171" s="245">
        <v>0.13200000000000001</v>
      </c>
      <c r="K171" s="243">
        <v>25</v>
      </c>
      <c r="L171" s="245">
        <v>1.9999999999999999E-6</v>
      </c>
      <c r="M171" s="242">
        <v>4.58</v>
      </c>
      <c r="N171" s="242">
        <f>10^M171</f>
        <v>38018.939632056143</v>
      </c>
      <c r="O171" s="242">
        <v>3.52</v>
      </c>
      <c r="P171" s="242">
        <f>10^O171</f>
        <v>3311.3112148259115</v>
      </c>
      <c r="Q171" s="238" t="s">
        <v>550</v>
      </c>
      <c r="R171" s="238" t="s">
        <v>550</v>
      </c>
      <c r="S171" s="246"/>
      <c r="T171" s="245">
        <v>0.2</v>
      </c>
      <c r="U171" s="245"/>
      <c r="V171" s="245"/>
      <c r="W171" s="245"/>
      <c r="X171" s="247"/>
      <c r="Y171" s="242"/>
      <c r="Z171" s="242"/>
      <c r="AA171" s="245"/>
      <c r="AB171" s="242"/>
      <c r="AC171" s="245"/>
      <c r="AD171" s="242"/>
      <c r="AE171" s="242"/>
      <c r="AF171" s="245"/>
      <c r="AG171" s="240"/>
      <c r="AH171" s="248"/>
      <c r="AI171" s="248"/>
    </row>
    <row r="172" spans="1:35" ht="242.25">
      <c r="A172" s="237"/>
      <c r="B172" s="249"/>
      <c r="C172" s="239"/>
      <c r="D172" s="240"/>
      <c r="E172" s="250" t="s">
        <v>985</v>
      </c>
      <c r="F172" s="251" t="s">
        <v>986</v>
      </c>
      <c r="G172" s="251"/>
      <c r="H172" s="251" t="s">
        <v>987</v>
      </c>
      <c r="I172" s="251"/>
      <c r="J172" s="244" t="s">
        <v>686</v>
      </c>
      <c r="K172" s="251"/>
      <c r="L172" s="251" t="s">
        <v>690</v>
      </c>
      <c r="M172" s="251" t="s">
        <v>988</v>
      </c>
      <c r="N172" s="242"/>
      <c r="O172" s="251" t="s">
        <v>988</v>
      </c>
      <c r="P172" s="242"/>
      <c r="Q172" s="249" t="s">
        <v>693</v>
      </c>
      <c r="R172" s="249" t="s">
        <v>693</v>
      </c>
      <c r="S172" s="252"/>
      <c r="T172" s="249" t="s">
        <v>989</v>
      </c>
      <c r="U172" s="249"/>
      <c r="V172" s="249"/>
      <c r="W172" s="249"/>
      <c r="X172" s="253"/>
      <c r="Y172" s="254"/>
      <c r="Z172" s="255"/>
      <c r="AA172" s="256"/>
      <c r="AB172" s="257"/>
      <c r="AC172" s="256"/>
      <c r="AD172" s="255"/>
      <c r="AE172" s="257"/>
      <c r="AF172" s="256"/>
      <c r="AG172" s="253"/>
      <c r="AH172" s="258"/>
      <c r="AI172" s="258"/>
    </row>
    <row r="173" spans="1:35" ht="15.75">
      <c r="A173" s="237">
        <v>103</v>
      </c>
      <c r="B173" s="238" t="s">
        <v>114</v>
      </c>
      <c r="C173" s="239" t="s">
        <v>990</v>
      </c>
      <c r="D173" s="240"/>
      <c r="E173" s="241">
        <v>222.23699999999999</v>
      </c>
      <c r="F173" s="238">
        <v>1113</v>
      </c>
      <c r="G173" s="243">
        <v>10</v>
      </c>
      <c r="H173" s="295">
        <v>9.75E-3</v>
      </c>
      <c r="I173" s="243">
        <v>10</v>
      </c>
      <c r="J173" s="245">
        <v>2E-3</v>
      </c>
      <c r="K173" s="243">
        <v>25</v>
      </c>
      <c r="L173" s="245">
        <v>1.9999999999999999E-6</v>
      </c>
      <c r="M173" s="242">
        <v>2.46</v>
      </c>
      <c r="N173" s="242">
        <f>10^M173</f>
        <v>288.40315031266073</v>
      </c>
      <c r="O173" s="242">
        <v>2.2999999999999998</v>
      </c>
      <c r="P173" s="242">
        <f>10^O173</f>
        <v>199.52623149688802</v>
      </c>
      <c r="Q173" s="238" t="s">
        <v>550</v>
      </c>
      <c r="R173" s="238" t="s">
        <v>550</v>
      </c>
      <c r="S173" s="246"/>
      <c r="T173" s="245">
        <v>0.8</v>
      </c>
      <c r="U173" s="245"/>
      <c r="V173" s="238"/>
      <c r="W173" s="238"/>
      <c r="X173" s="240"/>
      <c r="Y173" s="242"/>
      <c r="Z173" s="242"/>
      <c r="AA173" s="245"/>
      <c r="AB173" s="242"/>
      <c r="AC173" s="245"/>
      <c r="AD173" s="242"/>
      <c r="AE173" s="242"/>
      <c r="AF173" s="245"/>
      <c r="AG173" s="240"/>
      <c r="AH173" s="248"/>
      <c r="AI173" s="248"/>
    </row>
    <row r="174" spans="1:35" ht="242.25">
      <c r="A174" s="237"/>
      <c r="B174" s="249"/>
      <c r="C174" s="239"/>
      <c r="D174" s="240"/>
      <c r="E174" s="250" t="s">
        <v>691</v>
      </c>
      <c r="F174" s="251" t="s">
        <v>991</v>
      </c>
      <c r="G174" s="251"/>
      <c r="H174" s="251" t="s">
        <v>992</v>
      </c>
      <c r="I174" s="251"/>
      <c r="J174" s="244" t="s">
        <v>686</v>
      </c>
      <c r="K174" s="251"/>
      <c r="L174" s="251" t="s">
        <v>690</v>
      </c>
      <c r="M174" s="251" t="s">
        <v>993</v>
      </c>
      <c r="N174" s="242"/>
      <c r="O174" s="251" t="s">
        <v>994</v>
      </c>
      <c r="P174" s="242"/>
      <c r="Q174" s="249" t="s">
        <v>693</v>
      </c>
      <c r="R174" s="249" t="s">
        <v>693</v>
      </c>
      <c r="S174" s="252"/>
      <c r="T174" s="249" t="s">
        <v>995</v>
      </c>
      <c r="U174" s="249"/>
      <c r="V174" s="249"/>
      <c r="W174" s="249"/>
      <c r="X174" s="253"/>
      <c r="Y174" s="254"/>
      <c r="Z174" s="255"/>
      <c r="AA174" s="256"/>
      <c r="AB174" s="257"/>
      <c r="AC174" s="256"/>
      <c r="AD174" s="255"/>
      <c r="AE174" s="257"/>
      <c r="AF174" s="256"/>
      <c r="AG174" s="253"/>
      <c r="AH174" s="258"/>
      <c r="AI174" s="258"/>
    </row>
    <row r="175" spans="1:35" ht="15.75">
      <c r="A175" s="237">
        <v>104</v>
      </c>
      <c r="B175" s="238" t="s">
        <v>115</v>
      </c>
      <c r="C175" s="239" t="s">
        <v>996</v>
      </c>
      <c r="D175" s="240"/>
      <c r="E175" s="241">
        <v>278.34399999999999</v>
      </c>
      <c r="F175" s="260">
        <v>13.3</v>
      </c>
      <c r="G175" s="261">
        <v>10</v>
      </c>
      <c r="H175" s="245">
        <v>5.0000000000000001E-4</v>
      </c>
      <c r="I175" s="243">
        <v>10</v>
      </c>
      <c r="J175" s="245">
        <v>2.8400000000000002E-2</v>
      </c>
      <c r="K175" s="243">
        <v>25</v>
      </c>
      <c r="L175" s="245">
        <v>1.9999999999999999E-6</v>
      </c>
      <c r="M175" s="242">
        <v>4.46</v>
      </c>
      <c r="N175" s="242">
        <f>10^M175</f>
        <v>28840.315031266062</v>
      </c>
      <c r="O175" s="242">
        <v>3.25</v>
      </c>
      <c r="P175" s="242">
        <f>10^O175</f>
        <v>1778.2794100389244</v>
      </c>
      <c r="Q175" s="238" t="s">
        <v>550</v>
      </c>
      <c r="R175" s="238" t="s">
        <v>550</v>
      </c>
      <c r="S175" s="262"/>
      <c r="T175" s="245">
        <v>5.1999999999999998E-2</v>
      </c>
      <c r="U175" s="245"/>
      <c r="V175" s="245"/>
      <c r="W175" s="245"/>
      <c r="X175" s="247"/>
      <c r="Y175" s="242"/>
      <c r="Z175" s="242"/>
      <c r="AA175" s="245"/>
      <c r="AB175" s="242"/>
      <c r="AC175" s="245"/>
      <c r="AD175" s="242"/>
      <c r="AE175" s="242"/>
      <c r="AF175" s="245"/>
      <c r="AG175" s="240"/>
      <c r="AH175" s="248"/>
      <c r="AI175" s="248"/>
    </row>
    <row r="176" spans="1:35" ht="242.25">
      <c r="A176" s="237"/>
      <c r="B176" s="249"/>
      <c r="C176" s="239"/>
      <c r="D176" s="240"/>
      <c r="E176" s="250" t="s">
        <v>691</v>
      </c>
      <c r="F176" s="251" t="s">
        <v>997</v>
      </c>
      <c r="G176" s="251"/>
      <c r="H176" s="251" t="s">
        <v>998</v>
      </c>
      <c r="I176" s="251"/>
      <c r="J176" s="244" t="s">
        <v>686</v>
      </c>
      <c r="K176" s="251"/>
      <c r="L176" s="251" t="s">
        <v>690</v>
      </c>
      <c r="M176" s="251" t="s">
        <v>999</v>
      </c>
      <c r="N176" s="242"/>
      <c r="O176" s="251" t="s">
        <v>1000</v>
      </c>
      <c r="P176" s="242"/>
      <c r="Q176" s="265" t="s">
        <v>550</v>
      </c>
      <c r="R176" s="265" t="s">
        <v>550</v>
      </c>
      <c r="S176" s="266"/>
      <c r="T176" s="249" t="s">
        <v>876</v>
      </c>
      <c r="U176" s="249"/>
      <c r="V176" s="249"/>
      <c r="W176" s="249"/>
      <c r="X176" s="253"/>
      <c r="Y176" s="254"/>
      <c r="Z176" s="255"/>
      <c r="AA176" s="256"/>
      <c r="AB176" s="257"/>
      <c r="AC176" s="256"/>
      <c r="AD176" s="255"/>
      <c r="AE176" s="257"/>
      <c r="AF176" s="256"/>
      <c r="AG176" s="253"/>
      <c r="AH176" s="258"/>
      <c r="AI176" s="258"/>
    </row>
    <row r="177" spans="1:35">
      <c r="A177" s="310">
        <v>105</v>
      </c>
      <c r="B177" s="310" t="s">
        <v>380</v>
      </c>
      <c r="C177" s="310" t="s">
        <v>1513</v>
      </c>
      <c r="E177" s="310"/>
      <c r="F177" s="310"/>
      <c r="G177" s="310"/>
      <c r="H177" s="310"/>
      <c r="I177" s="310"/>
      <c r="J177" s="263">
        <v>16</v>
      </c>
      <c r="K177" s="310">
        <v>25</v>
      </c>
      <c r="L177" s="310"/>
      <c r="M177" s="310"/>
      <c r="N177" s="310"/>
      <c r="O177" s="310">
        <v>3.8</v>
      </c>
      <c r="P177" s="242">
        <f>10^O177</f>
        <v>6309.5734448019384</v>
      </c>
      <c r="Q177" s="310"/>
      <c r="R177" s="310"/>
      <c r="T177" s="310"/>
      <c r="U177" s="310"/>
      <c r="V177" s="310"/>
      <c r="W177" s="310"/>
      <c r="Y177" s="312"/>
      <c r="Z177" s="312"/>
      <c r="AA177" s="312"/>
      <c r="AB177" s="312"/>
      <c r="AC177" s="312"/>
      <c r="AD177" s="312"/>
      <c r="AE177" s="312"/>
      <c r="AF177" s="312"/>
      <c r="AH177" s="310"/>
      <c r="AI177" s="310"/>
    </row>
    <row r="178" spans="1:35">
      <c r="A178" s="310"/>
      <c r="B178" s="310"/>
      <c r="C178" s="310"/>
      <c r="E178" s="310"/>
      <c r="F178" s="310"/>
      <c r="G178" s="310"/>
      <c r="H178" s="310"/>
      <c r="I178" s="310"/>
      <c r="J178" s="263" t="s">
        <v>686</v>
      </c>
      <c r="K178" s="310"/>
      <c r="L178" s="310"/>
      <c r="M178" s="310"/>
      <c r="N178" s="310"/>
      <c r="O178" s="310" t="s">
        <v>686</v>
      </c>
      <c r="P178" s="310"/>
      <c r="Q178" s="310"/>
      <c r="R178" s="310"/>
      <c r="T178" s="310"/>
      <c r="U178" s="310"/>
      <c r="V178" s="310"/>
      <c r="W178" s="310"/>
      <c r="Y178" s="312"/>
      <c r="Z178" s="312"/>
      <c r="AA178" s="312"/>
      <c r="AB178" s="312"/>
      <c r="AC178" s="312"/>
      <c r="AD178" s="312"/>
      <c r="AE178" s="312"/>
      <c r="AF178" s="312"/>
      <c r="AH178" s="310"/>
      <c r="AI178" s="310"/>
    </row>
    <row r="179" spans="1:35">
      <c r="A179" s="310">
        <v>106</v>
      </c>
      <c r="B179" s="310" t="s">
        <v>382</v>
      </c>
      <c r="C179" s="310" t="s">
        <v>1514</v>
      </c>
      <c r="E179" s="310"/>
      <c r="F179" s="310"/>
      <c r="G179" s="310"/>
      <c r="H179" s="310"/>
      <c r="I179" s="310"/>
      <c r="J179" s="263">
        <v>14.16</v>
      </c>
      <c r="K179" s="310">
        <v>25</v>
      </c>
      <c r="L179" s="310"/>
      <c r="M179" s="310"/>
      <c r="N179" s="310"/>
      <c r="O179" s="310">
        <v>3.73</v>
      </c>
      <c r="P179" s="242">
        <f>10^O179</f>
        <v>5370.3179637025269</v>
      </c>
      <c r="Q179" s="310"/>
      <c r="R179" s="310"/>
      <c r="T179" s="310"/>
      <c r="U179" s="310"/>
      <c r="V179" s="310"/>
      <c r="W179" s="310"/>
      <c r="Y179" s="312"/>
      <c r="Z179" s="312"/>
      <c r="AA179" s="312"/>
      <c r="AB179" s="312"/>
      <c r="AC179" s="312"/>
      <c r="AD179" s="312"/>
      <c r="AE179" s="312"/>
      <c r="AF179" s="312"/>
      <c r="AH179" s="310"/>
      <c r="AI179" s="310"/>
    </row>
    <row r="180" spans="1:35" ht="38.25">
      <c r="A180" s="310"/>
      <c r="B180" s="310"/>
      <c r="C180" s="310"/>
      <c r="E180" s="310"/>
      <c r="F180" s="310"/>
      <c r="G180" s="310"/>
      <c r="H180" s="310"/>
      <c r="I180" s="310"/>
      <c r="J180" s="263" t="s">
        <v>686</v>
      </c>
      <c r="K180" s="310"/>
      <c r="L180" s="310"/>
      <c r="M180" s="237"/>
      <c r="N180" s="310"/>
      <c r="O180" s="237" t="s">
        <v>1515</v>
      </c>
      <c r="P180" s="310"/>
      <c r="Q180" s="310"/>
      <c r="R180" s="310"/>
      <c r="T180" s="310"/>
      <c r="U180" s="310"/>
      <c r="V180" s="310"/>
      <c r="W180" s="310"/>
      <c r="Y180" s="312"/>
      <c r="Z180" s="312"/>
      <c r="AA180" s="312"/>
      <c r="AB180" s="312"/>
      <c r="AC180" s="312"/>
      <c r="AD180" s="312"/>
      <c r="AE180" s="312"/>
      <c r="AF180" s="312"/>
      <c r="AH180" s="310"/>
      <c r="AI180" s="310"/>
    </row>
    <row r="181" spans="1:35">
      <c r="A181" s="237">
        <v>107</v>
      </c>
      <c r="B181" s="238" t="s">
        <v>77</v>
      </c>
      <c r="C181" s="239" t="s">
        <v>1001</v>
      </c>
      <c r="D181" s="240"/>
      <c r="E181" s="241">
        <v>76.141000000000005</v>
      </c>
      <c r="F181" s="235">
        <v>2100</v>
      </c>
      <c r="G181" s="261">
        <v>20</v>
      </c>
      <c r="H181" s="242">
        <v>27921</v>
      </c>
      <c r="I181" s="243">
        <v>10</v>
      </c>
      <c r="J181" s="245">
        <v>1577</v>
      </c>
      <c r="K181" s="243">
        <v>10</v>
      </c>
      <c r="L181" s="245"/>
      <c r="M181" s="242">
        <v>1.94</v>
      </c>
      <c r="N181" s="242">
        <f>10^M181</f>
        <v>87.096358995608071</v>
      </c>
      <c r="O181" s="242">
        <v>1.8</v>
      </c>
      <c r="P181" s="242">
        <f>10^O181</f>
        <v>63.095734448019364</v>
      </c>
      <c r="Q181" s="238" t="s">
        <v>550</v>
      </c>
      <c r="R181" s="238" t="s">
        <v>550</v>
      </c>
      <c r="S181" s="267"/>
      <c r="T181" s="245">
        <v>0.1</v>
      </c>
      <c r="U181" s="245">
        <v>0.7</v>
      </c>
      <c r="V181" s="238"/>
      <c r="W181" s="238"/>
      <c r="X181" s="240"/>
      <c r="Y181" s="242"/>
      <c r="Z181" s="242"/>
      <c r="AA181" s="245"/>
      <c r="AB181" s="242"/>
      <c r="AC181" s="245"/>
      <c r="AD181" s="242"/>
      <c r="AE181" s="242"/>
      <c r="AF181" s="245"/>
      <c r="AG181" s="240"/>
      <c r="AH181" s="248"/>
      <c r="AI181" s="248"/>
    </row>
    <row r="182" spans="1:35" ht="114.75">
      <c r="A182" s="237"/>
      <c r="B182" s="249"/>
      <c r="C182" s="239"/>
      <c r="D182" s="240"/>
      <c r="E182" s="250" t="s">
        <v>691</v>
      </c>
      <c r="F182" s="249" t="s">
        <v>1002</v>
      </c>
      <c r="G182" s="251"/>
      <c r="H182" s="251" t="s">
        <v>992</v>
      </c>
      <c r="I182" s="251"/>
      <c r="J182" s="244" t="s">
        <v>686</v>
      </c>
      <c r="K182" s="251"/>
      <c r="L182" s="251"/>
      <c r="M182" s="249" t="s">
        <v>1003</v>
      </c>
      <c r="N182" s="242"/>
      <c r="O182" s="251" t="s">
        <v>1004</v>
      </c>
      <c r="P182" s="242"/>
      <c r="Q182" s="249" t="s">
        <v>693</v>
      </c>
      <c r="R182" s="249" t="s">
        <v>693</v>
      </c>
      <c r="S182" s="268"/>
      <c r="T182" s="249" t="s">
        <v>1005</v>
      </c>
      <c r="U182" s="249" t="s">
        <v>1006</v>
      </c>
      <c r="V182" s="249"/>
      <c r="W182" s="249"/>
      <c r="X182" s="253"/>
      <c r="Y182" s="254"/>
      <c r="Z182" s="255"/>
      <c r="AA182" s="256"/>
      <c r="AB182" s="257"/>
      <c r="AC182" s="256"/>
      <c r="AD182" s="255"/>
      <c r="AE182" s="257"/>
      <c r="AF182" s="256"/>
      <c r="AG182" s="253"/>
      <c r="AH182" s="258"/>
      <c r="AI182" s="258"/>
    </row>
    <row r="183" spans="1:35" ht="15.75">
      <c r="A183" s="237">
        <v>108</v>
      </c>
      <c r="B183" s="238" t="s">
        <v>51</v>
      </c>
      <c r="C183" s="239" t="s">
        <v>1007</v>
      </c>
      <c r="D183" s="240"/>
      <c r="E183" s="241">
        <v>147.43100000000001</v>
      </c>
      <c r="F183" s="235">
        <v>1400</v>
      </c>
      <c r="G183" s="261">
        <v>10</v>
      </c>
      <c r="H183" s="245">
        <v>183</v>
      </c>
      <c r="I183" s="243">
        <v>10</v>
      </c>
      <c r="J183" s="245">
        <v>22.74</v>
      </c>
      <c r="K183" s="243">
        <v>10</v>
      </c>
      <c r="L183" s="245"/>
      <c r="M183" s="242">
        <v>2.29</v>
      </c>
      <c r="N183" s="242">
        <f>10^M183</f>
        <v>194.98445997580458</v>
      </c>
      <c r="O183" s="242">
        <v>1.93</v>
      </c>
      <c r="P183" s="242">
        <f>10^O183</f>
        <v>85.113803820237663</v>
      </c>
      <c r="Q183" s="238" t="s">
        <v>550</v>
      </c>
      <c r="R183" s="238" t="s">
        <v>550</v>
      </c>
      <c r="S183" s="246"/>
      <c r="T183" s="245">
        <v>4.0000000000000001E-3</v>
      </c>
      <c r="U183" s="245">
        <v>2.9999999999999997E-4</v>
      </c>
      <c r="V183" s="245">
        <v>3.3299999999999998E-7</v>
      </c>
      <c r="W183" s="238"/>
      <c r="X183" s="240"/>
      <c r="Y183" s="242"/>
      <c r="Z183" s="242"/>
      <c r="AA183" s="245"/>
      <c r="AB183" s="242"/>
      <c r="AC183" s="245"/>
      <c r="AD183" s="242"/>
      <c r="AE183" s="242"/>
      <c r="AF183" s="245"/>
      <c r="AG183" s="240"/>
      <c r="AH183" s="248"/>
      <c r="AI183" s="248"/>
    </row>
    <row r="184" spans="1:35" ht="114.75">
      <c r="A184" s="237"/>
      <c r="B184" s="249"/>
      <c r="C184" s="239"/>
      <c r="D184" s="240"/>
      <c r="E184" s="250" t="s">
        <v>691</v>
      </c>
      <c r="F184" s="249" t="s">
        <v>1008</v>
      </c>
      <c r="G184" s="251"/>
      <c r="H184" s="251" t="s">
        <v>1009</v>
      </c>
      <c r="I184" s="251"/>
      <c r="J184" s="244" t="s">
        <v>686</v>
      </c>
      <c r="K184" s="251"/>
      <c r="L184" s="251"/>
      <c r="M184" s="251" t="s">
        <v>1010</v>
      </c>
      <c r="N184" s="242"/>
      <c r="O184" s="251" t="s">
        <v>1011</v>
      </c>
      <c r="P184" s="242"/>
      <c r="Q184" s="249" t="s">
        <v>693</v>
      </c>
      <c r="R184" s="249" t="s">
        <v>693</v>
      </c>
      <c r="S184" s="252"/>
      <c r="T184" s="249" t="s">
        <v>1012</v>
      </c>
      <c r="U184" s="249" t="s">
        <v>1012</v>
      </c>
      <c r="V184" s="249" t="s">
        <v>1013</v>
      </c>
      <c r="W184" s="249"/>
      <c r="X184" s="253"/>
      <c r="Y184" s="254"/>
      <c r="Z184" s="255"/>
      <c r="AA184" s="256"/>
      <c r="AB184" s="257"/>
      <c r="AC184" s="256"/>
      <c r="AD184" s="255"/>
      <c r="AE184" s="257"/>
      <c r="AF184" s="256"/>
      <c r="AG184" s="253"/>
      <c r="AH184" s="258"/>
      <c r="AI184" s="258"/>
    </row>
    <row r="185" spans="1:35">
      <c r="A185" s="310">
        <v>109</v>
      </c>
      <c r="B185" s="310" t="s">
        <v>383</v>
      </c>
      <c r="C185" s="310" t="s">
        <v>856</v>
      </c>
      <c r="E185" s="310"/>
      <c r="F185" s="310"/>
      <c r="G185" s="310"/>
      <c r="H185" s="310"/>
      <c r="I185" s="310"/>
      <c r="J185" s="311">
        <v>4.1200000000000001E-2</v>
      </c>
      <c r="K185" s="310">
        <v>25</v>
      </c>
      <c r="L185" s="310"/>
      <c r="M185" s="310"/>
      <c r="N185" s="310"/>
      <c r="O185" s="310"/>
      <c r="P185" s="310"/>
      <c r="Q185" s="310"/>
      <c r="R185" s="310"/>
      <c r="T185" s="310"/>
      <c r="U185" s="310"/>
      <c r="V185" s="310"/>
      <c r="W185" s="310"/>
      <c r="Y185" s="312"/>
      <c r="Z185" s="312"/>
      <c r="AA185" s="312"/>
      <c r="AB185" s="312"/>
      <c r="AC185" s="312"/>
      <c r="AD185" s="312"/>
      <c r="AE185" s="312"/>
      <c r="AF185" s="312"/>
      <c r="AH185" s="310"/>
      <c r="AI185" s="310"/>
    </row>
    <row r="186" spans="1:35">
      <c r="A186" s="310"/>
      <c r="B186" s="310"/>
      <c r="C186" s="310"/>
      <c r="E186" s="310"/>
      <c r="F186" s="310"/>
      <c r="G186" s="310"/>
      <c r="H186" s="310"/>
      <c r="I186" s="310"/>
      <c r="J186" s="263" t="s">
        <v>686</v>
      </c>
      <c r="K186" s="310"/>
      <c r="L186" s="310"/>
      <c r="M186" s="310"/>
      <c r="N186" s="310"/>
      <c r="O186" s="310"/>
      <c r="P186" s="310"/>
      <c r="Q186" s="310"/>
      <c r="R186" s="310"/>
      <c r="T186" s="310"/>
      <c r="U186" s="310"/>
      <c r="V186" s="310"/>
      <c r="W186" s="310"/>
      <c r="Y186" s="312"/>
      <c r="Z186" s="312"/>
      <c r="AA186" s="312"/>
      <c r="AB186" s="312"/>
      <c r="AC186" s="312"/>
      <c r="AD186" s="312"/>
      <c r="AE186" s="312"/>
      <c r="AF186" s="312"/>
      <c r="AH186" s="310"/>
      <c r="AI186" s="310"/>
    </row>
    <row r="187" spans="1:35" ht="15.75">
      <c r="A187" s="237">
        <v>110</v>
      </c>
      <c r="B187" s="238" t="s">
        <v>53</v>
      </c>
      <c r="C187" s="239" t="s">
        <v>1014</v>
      </c>
      <c r="D187" s="240"/>
      <c r="E187" s="241">
        <v>236.333</v>
      </c>
      <c r="F187" s="235">
        <v>1230</v>
      </c>
      <c r="G187" s="261">
        <v>20</v>
      </c>
      <c r="H187" s="245">
        <v>77.3</v>
      </c>
      <c r="I187" s="243">
        <v>20</v>
      </c>
      <c r="J187" s="245">
        <v>15.19875</v>
      </c>
      <c r="K187" s="243" t="s">
        <v>550</v>
      </c>
      <c r="L187" s="245"/>
      <c r="M187" s="242">
        <v>2.96</v>
      </c>
      <c r="N187" s="242">
        <f>10^M187</f>
        <v>912.01083935590987</v>
      </c>
      <c r="O187" s="242">
        <v>2.57</v>
      </c>
      <c r="P187" s="242">
        <f>10^O187</f>
        <v>371.53522909717265</v>
      </c>
      <c r="Q187" s="238" t="s">
        <v>550</v>
      </c>
      <c r="R187" s="238" t="s">
        <v>550</v>
      </c>
      <c r="S187" s="246"/>
      <c r="T187" s="245"/>
      <c r="U187" s="245">
        <v>2.0000000000000001E-4</v>
      </c>
      <c r="V187" s="245">
        <v>1.4300000000000001E-6</v>
      </c>
      <c r="W187" s="245">
        <v>5.0000000000000004E-6</v>
      </c>
      <c r="X187" s="247"/>
      <c r="Y187" s="242"/>
      <c r="Z187" s="242"/>
      <c r="AA187" s="245"/>
      <c r="AB187" s="242"/>
      <c r="AC187" s="245"/>
      <c r="AD187" s="242"/>
      <c r="AE187" s="242"/>
      <c r="AF187" s="245"/>
      <c r="AG187" s="240"/>
      <c r="AH187" s="248"/>
      <c r="AI187" s="248"/>
    </row>
    <row r="188" spans="1:35" ht="89.25">
      <c r="A188" s="237"/>
      <c r="B188" s="249"/>
      <c r="C188" s="239"/>
      <c r="D188" s="240"/>
      <c r="E188" s="250" t="s">
        <v>691</v>
      </c>
      <c r="F188" s="249" t="s">
        <v>1015</v>
      </c>
      <c r="G188" s="251"/>
      <c r="H188" s="251" t="s">
        <v>1016</v>
      </c>
      <c r="I188" s="251"/>
      <c r="J188" s="243" t="s">
        <v>854</v>
      </c>
      <c r="K188" s="251"/>
      <c r="L188" s="251"/>
      <c r="M188" s="251" t="s">
        <v>1017</v>
      </c>
      <c r="N188" s="242"/>
      <c r="O188" s="251" t="s">
        <v>1018</v>
      </c>
      <c r="P188" s="242"/>
      <c r="Q188" s="249" t="s">
        <v>693</v>
      </c>
      <c r="R188" s="249" t="s">
        <v>693</v>
      </c>
      <c r="S188" s="252"/>
      <c r="T188" s="249"/>
      <c r="U188" s="249" t="s">
        <v>1019</v>
      </c>
      <c r="V188" s="249" t="s">
        <v>1020</v>
      </c>
      <c r="W188" s="249" t="s">
        <v>1021</v>
      </c>
      <c r="X188" s="253"/>
      <c r="Y188" s="254"/>
      <c r="Z188" s="255"/>
      <c r="AA188" s="256"/>
      <c r="AB188" s="257"/>
      <c r="AC188" s="256"/>
      <c r="AD188" s="255"/>
      <c r="AE188" s="257"/>
      <c r="AF188" s="256"/>
      <c r="AG188" s="253"/>
      <c r="AH188" s="258"/>
      <c r="AI188" s="258"/>
    </row>
    <row r="189" spans="1:35" ht="15.75">
      <c r="A189" s="237">
        <v>111</v>
      </c>
      <c r="B189" s="238" t="s">
        <v>69</v>
      </c>
      <c r="C189" s="239" t="s">
        <v>1123</v>
      </c>
      <c r="D189" s="240"/>
      <c r="E189" s="241">
        <v>50.488</v>
      </c>
      <c r="F189" s="242">
        <v>9113</v>
      </c>
      <c r="G189" s="243">
        <v>10</v>
      </c>
      <c r="H189" s="245">
        <v>363169.44640000002</v>
      </c>
      <c r="I189" s="243">
        <v>10</v>
      </c>
      <c r="J189" s="245">
        <v>558.72955899999999</v>
      </c>
      <c r="K189" s="243">
        <v>10</v>
      </c>
      <c r="L189" s="245"/>
      <c r="M189" s="242">
        <v>0.91108313280465036</v>
      </c>
      <c r="N189" s="242">
        <f>10^M189</f>
        <v>8.1486024993256265</v>
      </c>
      <c r="O189" s="242">
        <v>0.70176491790342443</v>
      </c>
      <c r="P189" s="242">
        <f>10^O189</f>
        <v>5.0322813940492725</v>
      </c>
      <c r="Q189" s="238" t="s">
        <v>550</v>
      </c>
      <c r="R189" s="238" t="s">
        <v>550</v>
      </c>
      <c r="S189" s="277"/>
      <c r="T189" s="245"/>
      <c r="U189" s="245">
        <v>0.09</v>
      </c>
      <c r="V189" s="245"/>
      <c r="W189" s="245"/>
      <c r="X189" s="247"/>
      <c r="Y189" s="242"/>
      <c r="Z189" s="242"/>
      <c r="AA189" s="245"/>
      <c r="AB189" s="242"/>
      <c r="AC189" s="245"/>
      <c r="AD189" s="242"/>
      <c r="AE189" s="242"/>
      <c r="AF189" s="245"/>
      <c r="AG189" s="240"/>
      <c r="AH189" s="248"/>
      <c r="AI189" s="248"/>
    </row>
    <row r="190" spans="1:35" ht="153">
      <c r="A190" s="237"/>
      <c r="B190" s="249"/>
      <c r="C190" s="239"/>
      <c r="D190" s="240"/>
      <c r="E190" s="250" t="s">
        <v>746</v>
      </c>
      <c r="F190" s="251" t="s">
        <v>1124</v>
      </c>
      <c r="G190" s="251"/>
      <c r="H190" s="251" t="s">
        <v>1125</v>
      </c>
      <c r="I190" s="251"/>
      <c r="J190" s="244" t="s">
        <v>686</v>
      </c>
      <c r="K190" s="251"/>
      <c r="L190" s="249" t="s">
        <v>761</v>
      </c>
      <c r="M190" s="251" t="s">
        <v>1126</v>
      </c>
      <c r="N190" s="242"/>
      <c r="O190" s="251" t="s">
        <v>1127</v>
      </c>
      <c r="P190" s="242"/>
      <c r="Q190" s="265" t="s">
        <v>550</v>
      </c>
      <c r="R190" s="265" t="s">
        <v>550</v>
      </c>
      <c r="S190" s="278"/>
      <c r="T190" s="249"/>
      <c r="U190" s="249" t="s">
        <v>762</v>
      </c>
      <c r="V190" s="249"/>
      <c r="W190" s="249"/>
      <c r="X190" s="253"/>
      <c r="Y190" s="254"/>
      <c r="Z190" s="255"/>
      <c r="AA190" s="256"/>
      <c r="AB190" s="257"/>
      <c r="AC190" s="256"/>
      <c r="AD190" s="255"/>
      <c r="AE190" s="257"/>
      <c r="AF190" s="256"/>
      <c r="AG190" s="253"/>
      <c r="AH190" s="258"/>
      <c r="AI190" s="258"/>
    </row>
    <row r="191" spans="1:35">
      <c r="A191" s="237">
        <v>113</v>
      </c>
      <c r="B191" s="238" t="s">
        <v>82</v>
      </c>
      <c r="C191" s="239" t="s">
        <v>947</v>
      </c>
      <c r="D191" s="240"/>
      <c r="E191" s="241">
        <v>58.08</v>
      </c>
      <c r="F191" s="242">
        <v>681000</v>
      </c>
      <c r="G191" s="243">
        <v>20</v>
      </c>
      <c r="H191" s="242">
        <v>38741</v>
      </c>
      <c r="I191" s="243">
        <v>10</v>
      </c>
      <c r="J191" s="245">
        <v>8.6530000000000005</v>
      </c>
      <c r="K191" s="243">
        <v>25</v>
      </c>
      <c r="L191" s="245"/>
      <c r="M191" s="242">
        <v>0.03</v>
      </c>
      <c r="N191" s="242">
        <f>10^M191</f>
        <v>1.0715193052376064</v>
      </c>
      <c r="O191" s="242">
        <v>-0.36</v>
      </c>
      <c r="P191" s="242">
        <f>10^O191</f>
        <v>0.43651583224016594</v>
      </c>
      <c r="Q191" s="238" t="s">
        <v>550</v>
      </c>
      <c r="R191" s="238" t="s">
        <v>550</v>
      </c>
      <c r="S191" s="280"/>
      <c r="T191" s="245"/>
      <c r="U191" s="245">
        <v>0.03</v>
      </c>
      <c r="V191" s="245">
        <f>0.00001/0.24</f>
        <v>4.1666666666666672E-5</v>
      </c>
      <c r="W191" s="245">
        <f>(0.00001/0.0000037)*0.001</f>
        <v>2.7027027027027029E-3</v>
      </c>
      <c r="X191" s="247"/>
      <c r="Y191" s="242"/>
      <c r="Z191" s="242"/>
      <c r="AA191" s="245"/>
      <c r="AB191" s="242"/>
      <c r="AC191" s="245"/>
      <c r="AD191" s="242"/>
      <c r="AE191" s="242"/>
      <c r="AF191" s="245"/>
      <c r="AG191" s="240"/>
      <c r="AH191" s="248"/>
      <c r="AI191" s="248"/>
    </row>
    <row r="192" spans="1:35" ht="102">
      <c r="A192" s="237"/>
      <c r="B192" s="249"/>
      <c r="C192" s="239"/>
      <c r="D192" s="240"/>
      <c r="E192" s="250" t="s">
        <v>746</v>
      </c>
      <c r="F192" s="249" t="s">
        <v>1072</v>
      </c>
      <c r="G192" s="251"/>
      <c r="H192" s="249" t="s">
        <v>1073</v>
      </c>
      <c r="I192" s="251"/>
      <c r="J192" s="244" t="s">
        <v>686</v>
      </c>
      <c r="K192" s="270"/>
      <c r="L192" s="249" t="s">
        <v>761</v>
      </c>
      <c r="M192" s="251" t="s">
        <v>1074</v>
      </c>
      <c r="N192" s="242"/>
      <c r="O192" s="251" t="s">
        <v>1075</v>
      </c>
      <c r="P192" s="242"/>
      <c r="Q192" s="265"/>
      <c r="R192" s="249"/>
      <c r="S192" s="281"/>
      <c r="T192" s="249"/>
      <c r="U192" s="249" t="s">
        <v>1076</v>
      </c>
      <c r="V192" s="249" t="s">
        <v>1077</v>
      </c>
      <c r="W192" s="249" t="s">
        <v>1078</v>
      </c>
      <c r="X192" s="253"/>
      <c r="Y192" s="254"/>
      <c r="Z192" s="255"/>
      <c r="AA192" s="256"/>
      <c r="AB192" s="257"/>
      <c r="AC192" s="256"/>
      <c r="AD192" s="255"/>
      <c r="AE192" s="257"/>
      <c r="AF192" s="256"/>
      <c r="AG192" s="253"/>
      <c r="AH192" s="258"/>
      <c r="AI192" s="258"/>
    </row>
    <row r="193" spans="1:35" ht="15.75">
      <c r="A193" s="237">
        <v>114</v>
      </c>
      <c r="B193" s="238" t="s">
        <v>78</v>
      </c>
      <c r="C193" s="239" t="s">
        <v>1064</v>
      </c>
      <c r="D193" s="240"/>
      <c r="E193" s="275">
        <v>260.76100000000002</v>
      </c>
      <c r="F193" s="242">
        <v>2</v>
      </c>
      <c r="G193" s="243">
        <v>20</v>
      </c>
      <c r="H193" s="242">
        <v>20</v>
      </c>
      <c r="I193" s="243">
        <v>20</v>
      </c>
      <c r="J193" s="245">
        <v>1044</v>
      </c>
      <c r="K193" s="243">
        <v>25</v>
      </c>
      <c r="L193" s="245"/>
      <c r="M193" s="242">
        <v>4.7699999999999996</v>
      </c>
      <c r="N193" s="242">
        <f>10^M193</f>
        <v>58884.365535558936</v>
      </c>
      <c r="O193" s="242">
        <v>4.38</v>
      </c>
      <c r="P193" s="242">
        <f>10^O193</f>
        <v>23988.329190194923</v>
      </c>
      <c r="Q193" s="238" t="s">
        <v>550</v>
      </c>
      <c r="R193" s="238" t="s">
        <v>550</v>
      </c>
      <c r="S193" s="277"/>
      <c r="T193" s="245">
        <v>2.0000000000000001E-4</v>
      </c>
      <c r="U193" s="245"/>
      <c r="V193" s="245">
        <f>0.00001/0.078</f>
        <v>1.2820512820512821E-4</v>
      </c>
      <c r="W193" s="245">
        <v>4.5449999999999999E-4</v>
      </c>
      <c r="X193" s="247"/>
      <c r="Y193" s="242"/>
      <c r="Z193" s="242"/>
      <c r="AA193" s="245"/>
      <c r="AB193" s="242"/>
      <c r="AC193" s="245"/>
      <c r="AD193" s="242"/>
      <c r="AE193" s="242"/>
      <c r="AF193" s="245"/>
      <c r="AG193" s="240"/>
      <c r="AH193" s="248"/>
      <c r="AI193" s="248"/>
    </row>
    <row r="194" spans="1:35" ht="191.25">
      <c r="A194" s="237"/>
      <c r="B194" s="249"/>
      <c r="C194" s="239"/>
      <c r="D194" s="240"/>
      <c r="E194" s="250" t="s">
        <v>746</v>
      </c>
      <c r="F194" s="256" t="s">
        <v>1065</v>
      </c>
      <c r="G194" s="264"/>
      <c r="H194" s="256" t="s">
        <v>1066</v>
      </c>
      <c r="I194" s="264"/>
      <c r="J194" s="244" t="s">
        <v>686</v>
      </c>
      <c r="K194" s="270"/>
      <c r="L194" s="249" t="s">
        <v>761</v>
      </c>
      <c r="M194" s="249" t="s">
        <v>1067</v>
      </c>
      <c r="N194" s="242"/>
      <c r="O194" s="249" t="s">
        <v>1068</v>
      </c>
      <c r="P194" s="242"/>
      <c r="Q194" s="249" t="s">
        <v>693</v>
      </c>
      <c r="R194" s="249" t="s">
        <v>693</v>
      </c>
      <c r="S194" s="278"/>
      <c r="T194" s="249" t="s">
        <v>1069</v>
      </c>
      <c r="U194" s="249"/>
      <c r="V194" s="249" t="s">
        <v>1070</v>
      </c>
      <c r="W194" s="249" t="s">
        <v>1071</v>
      </c>
      <c r="X194" s="253"/>
      <c r="Y194" s="254"/>
      <c r="Z194" s="255"/>
      <c r="AA194" s="256"/>
      <c r="AB194" s="257"/>
      <c r="AC194" s="256"/>
      <c r="AD194" s="255"/>
      <c r="AE194" s="257"/>
      <c r="AF194" s="256"/>
      <c r="AG194" s="253"/>
      <c r="AH194" s="258"/>
      <c r="AI194" s="258"/>
    </row>
    <row r="195" spans="1:35">
      <c r="A195" s="237">
        <v>116</v>
      </c>
      <c r="B195" s="238" t="s">
        <v>85</v>
      </c>
      <c r="C195" s="239" t="s">
        <v>935</v>
      </c>
      <c r="D195" s="240"/>
      <c r="E195" s="241">
        <v>74.120999999999995</v>
      </c>
      <c r="F195" s="242">
        <v>1000000</v>
      </c>
      <c r="G195" s="243">
        <v>25</v>
      </c>
      <c r="H195" s="242">
        <v>1899</v>
      </c>
      <c r="I195" s="243">
        <v>10</v>
      </c>
      <c r="J195" s="245">
        <v>9.7000000000000003E-2</v>
      </c>
      <c r="K195" s="243">
        <v>20</v>
      </c>
      <c r="L195" s="245"/>
      <c r="M195" s="242">
        <v>0.35</v>
      </c>
      <c r="N195" s="242">
        <f>10^M195</f>
        <v>2.2387211385683394</v>
      </c>
      <c r="O195" s="242">
        <v>1.57</v>
      </c>
      <c r="P195" s="242">
        <f>10^O195</f>
        <v>37.153522909717275</v>
      </c>
      <c r="Q195" s="238" t="s">
        <v>550</v>
      </c>
      <c r="R195" s="238" t="s">
        <v>550</v>
      </c>
      <c r="S195" s="280"/>
      <c r="T195" s="245"/>
      <c r="U195" s="238"/>
      <c r="V195" s="245">
        <f>0.00001/0.0033</f>
        <v>3.0303030303030307E-3</v>
      </c>
      <c r="W195" s="245"/>
      <c r="X195" s="247"/>
      <c r="Y195" s="242"/>
      <c r="Z195" s="242"/>
      <c r="AA195" s="245"/>
      <c r="AB195" s="242"/>
      <c r="AC195" s="245"/>
      <c r="AD195" s="242"/>
      <c r="AE195" s="242"/>
      <c r="AF195" s="245"/>
      <c r="AG195" s="240"/>
      <c r="AH195" s="248"/>
      <c r="AI195" s="248"/>
    </row>
    <row r="196" spans="1:35" ht="140.25">
      <c r="A196" s="237"/>
      <c r="B196" s="249"/>
      <c r="C196" s="239"/>
      <c r="D196" s="240"/>
      <c r="E196" s="250" t="s">
        <v>746</v>
      </c>
      <c r="F196" s="249" t="s">
        <v>1079</v>
      </c>
      <c r="G196" s="251"/>
      <c r="H196" s="251" t="s">
        <v>1080</v>
      </c>
      <c r="I196" s="251"/>
      <c r="J196" s="244" t="s">
        <v>686</v>
      </c>
      <c r="K196" s="251"/>
      <c r="L196" s="249" t="s">
        <v>761</v>
      </c>
      <c r="M196" s="251" t="s">
        <v>715</v>
      </c>
      <c r="N196" s="242"/>
      <c r="O196" s="251" t="s">
        <v>1081</v>
      </c>
      <c r="P196" s="242"/>
      <c r="Q196" s="265" t="s">
        <v>1082</v>
      </c>
      <c r="R196" s="249"/>
      <c r="S196" s="278"/>
      <c r="T196" s="249"/>
      <c r="U196" s="249"/>
      <c r="V196" s="249" t="s">
        <v>1083</v>
      </c>
      <c r="W196" s="249"/>
      <c r="X196" s="253"/>
      <c r="Y196" s="254"/>
      <c r="Z196" s="255"/>
      <c r="AA196" s="256"/>
      <c r="AB196" s="257"/>
      <c r="AC196" s="256"/>
      <c r="AD196" s="255"/>
      <c r="AE196" s="257"/>
      <c r="AF196" s="256"/>
      <c r="AG196" s="253"/>
      <c r="AH196" s="258"/>
      <c r="AI196" s="258"/>
    </row>
    <row r="197" spans="1:35">
      <c r="A197" s="237">
        <v>122</v>
      </c>
      <c r="B197" s="238" t="s">
        <v>137</v>
      </c>
      <c r="C197" s="239" t="s">
        <v>1084</v>
      </c>
      <c r="D197" s="240"/>
      <c r="E197" s="241">
        <v>321.971</v>
      </c>
      <c r="F197" s="276">
        <v>4.8299999999999998E-4</v>
      </c>
      <c r="G197" s="261">
        <v>17.3</v>
      </c>
      <c r="H197" s="245">
        <v>1.4E-8</v>
      </c>
      <c r="I197" s="243">
        <v>10</v>
      </c>
      <c r="J197" s="245">
        <v>1.62</v>
      </c>
      <c r="K197" s="243">
        <v>25</v>
      </c>
      <c r="L197" s="245">
        <v>9.9999999999999995E-8</v>
      </c>
      <c r="M197" s="242">
        <v>6.68</v>
      </c>
      <c r="N197" s="242">
        <f>10^M197</f>
        <v>4786300.9232263844</v>
      </c>
      <c r="O197" s="242">
        <v>5.63</v>
      </c>
      <c r="P197" s="242">
        <f>10^O197</f>
        <v>426579.51880159322</v>
      </c>
      <c r="Q197" s="238" t="s">
        <v>550</v>
      </c>
      <c r="R197" s="238" t="s">
        <v>550</v>
      </c>
      <c r="S197" s="280"/>
      <c r="T197" s="245">
        <v>6.9999999999999996E-10</v>
      </c>
      <c r="U197" s="245">
        <v>4.0000000000000001E-8</v>
      </c>
      <c r="V197" s="245">
        <f>0.00001/130000</f>
        <v>7.6923076923076924E-11</v>
      </c>
      <c r="W197" s="245">
        <f>0.00001/38000</f>
        <v>2.6315789473684214E-10</v>
      </c>
      <c r="X197" s="247"/>
      <c r="Y197" s="242"/>
      <c r="Z197" s="242"/>
      <c r="AA197" s="245"/>
      <c r="AB197" s="242"/>
      <c r="AC197" s="245"/>
      <c r="AD197" s="242"/>
      <c r="AE197" s="242"/>
      <c r="AF197" s="245"/>
      <c r="AG197" s="240"/>
      <c r="AH197" s="248"/>
      <c r="AI197" s="248"/>
    </row>
    <row r="198" spans="1:35" ht="242.25">
      <c r="A198" s="237"/>
      <c r="B198" s="249"/>
      <c r="C198" s="239"/>
      <c r="D198" s="240"/>
      <c r="E198" s="250" t="s">
        <v>746</v>
      </c>
      <c r="F198" s="251" t="s">
        <v>1085</v>
      </c>
      <c r="G198" s="251"/>
      <c r="H198" s="251" t="s">
        <v>1086</v>
      </c>
      <c r="I198" s="251"/>
      <c r="J198" s="244" t="s">
        <v>686</v>
      </c>
      <c r="K198" s="251"/>
      <c r="L198" s="251" t="s">
        <v>690</v>
      </c>
      <c r="M198" s="251" t="s">
        <v>1087</v>
      </c>
      <c r="N198" s="242"/>
      <c r="O198" s="251" t="s">
        <v>1088</v>
      </c>
      <c r="P198" s="242"/>
      <c r="Q198" s="265"/>
      <c r="R198" s="249"/>
      <c r="S198" s="281"/>
      <c r="T198" s="249" t="s">
        <v>1089</v>
      </c>
      <c r="U198" s="249" t="s">
        <v>934</v>
      </c>
      <c r="V198" s="249" t="s">
        <v>1090</v>
      </c>
      <c r="W198" s="249" t="s">
        <v>1091</v>
      </c>
      <c r="X198" s="253"/>
      <c r="Y198" s="254"/>
      <c r="Z198" s="255"/>
      <c r="AA198" s="256"/>
      <c r="AB198" s="257"/>
      <c r="AC198" s="256"/>
      <c r="AD198" s="255"/>
      <c r="AE198" s="257"/>
      <c r="AF198" s="256"/>
      <c r="AG198" s="253"/>
      <c r="AH198" s="258"/>
      <c r="AI198" s="258"/>
    </row>
    <row r="199" spans="1:35">
      <c r="A199" s="310">
        <v>123</v>
      </c>
      <c r="B199" s="310" t="s">
        <v>391</v>
      </c>
      <c r="C199" s="310" t="s">
        <v>1516</v>
      </c>
      <c r="E199" s="310"/>
      <c r="F199" s="310"/>
      <c r="G199" s="310"/>
      <c r="H199" s="310"/>
      <c r="I199" s="310"/>
      <c r="J199" s="263">
        <v>1.2869999999999999</v>
      </c>
      <c r="K199" s="310">
        <v>20</v>
      </c>
      <c r="L199" s="310"/>
      <c r="M199" s="310"/>
      <c r="N199" s="310"/>
      <c r="O199" s="310">
        <v>2.4900000000000002</v>
      </c>
      <c r="P199" s="242">
        <f>10^O199</f>
        <v>309.02954325135937</v>
      </c>
      <c r="Q199" s="310"/>
      <c r="R199" s="310"/>
      <c r="T199" s="310"/>
      <c r="U199" s="310"/>
      <c r="V199" s="310"/>
      <c r="W199" s="310"/>
      <c r="Y199" s="312"/>
      <c r="Z199" s="312"/>
      <c r="AA199" s="312"/>
      <c r="AB199" s="312"/>
      <c r="AC199" s="312"/>
      <c r="AD199" s="312"/>
      <c r="AE199" s="312"/>
      <c r="AF199" s="312"/>
      <c r="AH199" s="310"/>
      <c r="AI199" s="310"/>
    </row>
    <row r="200" spans="1:35">
      <c r="A200" s="310"/>
      <c r="B200" s="310"/>
      <c r="C200" s="310"/>
      <c r="E200" s="310"/>
      <c r="F200" s="310"/>
      <c r="G200" s="310"/>
      <c r="H200" s="310"/>
      <c r="I200" s="310"/>
      <c r="J200" s="263" t="s">
        <v>686</v>
      </c>
      <c r="K200" s="310"/>
      <c r="L200" s="310"/>
      <c r="M200" s="310"/>
      <c r="N200" s="310"/>
      <c r="O200" s="310" t="s">
        <v>686</v>
      </c>
      <c r="P200" s="310"/>
      <c r="Q200" s="310"/>
      <c r="R200" s="310"/>
      <c r="T200" s="310"/>
      <c r="U200" s="310"/>
      <c r="V200" s="310"/>
      <c r="W200" s="310"/>
      <c r="Y200" s="312"/>
      <c r="Z200" s="312"/>
      <c r="AA200" s="312"/>
      <c r="AB200" s="312"/>
      <c r="AC200" s="312"/>
      <c r="AD200" s="312"/>
      <c r="AE200" s="312"/>
      <c r="AF200" s="312"/>
      <c r="AH200" s="310"/>
      <c r="AI200" s="310"/>
    </row>
    <row r="201" spans="1:35">
      <c r="A201" s="310">
        <v>126</v>
      </c>
      <c r="B201" s="310" t="s">
        <v>395</v>
      </c>
      <c r="C201" s="310" t="s">
        <v>1501</v>
      </c>
      <c r="E201" s="310"/>
      <c r="F201" s="310"/>
      <c r="G201" s="310"/>
      <c r="H201" s="310"/>
      <c r="I201" s="310"/>
      <c r="J201" s="311">
        <v>0.253</v>
      </c>
      <c r="K201" s="310">
        <v>20</v>
      </c>
      <c r="L201" s="310"/>
      <c r="M201" s="310"/>
      <c r="N201" s="310"/>
      <c r="O201" s="310"/>
      <c r="P201" s="310"/>
      <c r="Q201" s="310"/>
      <c r="R201" s="310"/>
      <c r="T201" s="310"/>
      <c r="U201" s="310"/>
      <c r="V201" s="310"/>
      <c r="W201" s="310"/>
      <c r="Y201" s="312"/>
      <c r="Z201" s="312"/>
      <c r="AA201" s="312"/>
      <c r="AB201" s="312"/>
      <c r="AC201" s="312"/>
      <c r="AD201" s="312"/>
      <c r="AE201" s="312"/>
      <c r="AF201" s="312"/>
      <c r="AH201" s="310"/>
      <c r="AI201" s="310"/>
    </row>
    <row r="202" spans="1:35">
      <c r="A202" s="310"/>
      <c r="B202" s="310"/>
      <c r="C202" s="310"/>
      <c r="E202" s="310"/>
      <c r="F202" s="310"/>
      <c r="G202" s="310"/>
      <c r="H202" s="310"/>
      <c r="I202" s="310"/>
      <c r="J202" s="263" t="s">
        <v>686</v>
      </c>
      <c r="K202" s="310"/>
      <c r="L202" s="310"/>
      <c r="M202" s="310"/>
      <c r="N202" s="310"/>
      <c r="O202" s="310"/>
      <c r="P202" s="310"/>
      <c r="Q202" s="310"/>
      <c r="R202" s="310"/>
      <c r="T202" s="310"/>
      <c r="U202" s="310"/>
      <c r="V202" s="310"/>
      <c r="W202" s="310"/>
      <c r="Y202" s="312"/>
      <c r="Z202" s="312"/>
      <c r="AA202" s="312"/>
      <c r="AB202" s="312"/>
      <c r="AC202" s="312"/>
      <c r="AD202" s="312"/>
      <c r="AE202" s="312"/>
      <c r="AF202" s="312"/>
      <c r="AH202" s="310"/>
      <c r="AI202" s="310"/>
    </row>
    <row r="203" spans="1:35" ht="15.75">
      <c r="A203" s="237">
        <v>128</v>
      </c>
      <c r="B203" s="238" t="s">
        <v>139</v>
      </c>
      <c r="C203" s="239" t="s">
        <v>1022</v>
      </c>
      <c r="D203" s="240"/>
      <c r="E203" s="241">
        <v>409.779</v>
      </c>
      <c r="F203" s="235">
        <v>0.05</v>
      </c>
      <c r="G203" s="261">
        <v>20</v>
      </c>
      <c r="H203" s="245">
        <v>9.6558000000000006E-5</v>
      </c>
      <c r="I203" s="243">
        <v>10</v>
      </c>
      <c r="J203" s="245">
        <v>9.02</v>
      </c>
      <c r="K203" s="243">
        <v>20</v>
      </c>
      <c r="L203" s="245"/>
      <c r="M203" s="242">
        <v>5.14</v>
      </c>
      <c r="N203" s="242">
        <f>10^M203</f>
        <v>138038.42646028858</v>
      </c>
      <c r="O203" s="242">
        <v>4.4121085445274977</v>
      </c>
      <c r="P203" s="242">
        <f>10^O203</f>
        <v>25829.056633581917</v>
      </c>
      <c r="Q203" s="238" t="s">
        <v>550</v>
      </c>
      <c r="R203" s="238" t="s">
        <v>550</v>
      </c>
      <c r="S203" s="269"/>
      <c r="T203" s="245">
        <v>5.0000000000000001E-4</v>
      </c>
      <c r="U203" s="245">
        <v>2.0000000000000002E-5</v>
      </c>
      <c r="V203" s="238">
        <f>0.00001/1.3</f>
        <v>7.6923076923076919E-6</v>
      </c>
      <c r="W203" s="238">
        <f>0.00001/0.34</f>
        <v>2.9411764705882354E-5</v>
      </c>
      <c r="X203" s="240"/>
      <c r="Y203" s="242"/>
      <c r="Z203" s="242"/>
      <c r="AA203" s="245"/>
      <c r="AB203" s="242"/>
      <c r="AC203" s="245"/>
      <c r="AD203" s="242"/>
      <c r="AE203" s="242"/>
      <c r="AF203" s="245"/>
      <c r="AG203" s="240"/>
      <c r="AH203" s="248"/>
      <c r="AI203" s="248"/>
    </row>
    <row r="204" spans="1:35" ht="216.75">
      <c r="A204" s="237"/>
      <c r="B204" s="249"/>
      <c r="C204" s="239"/>
      <c r="D204" s="240"/>
      <c r="E204" s="250" t="s">
        <v>1023</v>
      </c>
      <c r="F204" s="251" t="s">
        <v>1024</v>
      </c>
      <c r="G204" s="251"/>
      <c r="H204" s="251" t="s">
        <v>1025</v>
      </c>
      <c r="I204" s="251"/>
      <c r="J204" s="244" t="s">
        <v>686</v>
      </c>
      <c r="K204" s="251"/>
      <c r="L204" s="251" t="s">
        <v>761</v>
      </c>
      <c r="M204" s="251" t="s">
        <v>1026</v>
      </c>
      <c r="N204" s="242"/>
      <c r="O204" s="251" t="s">
        <v>1027</v>
      </c>
      <c r="P204" s="242"/>
      <c r="Q204" s="265" t="s">
        <v>693</v>
      </c>
      <c r="R204" s="265" t="s">
        <v>812</v>
      </c>
      <c r="S204" s="252"/>
      <c r="T204" s="249" t="s">
        <v>1028</v>
      </c>
      <c r="U204" s="249" t="s">
        <v>1029</v>
      </c>
      <c r="V204" s="249" t="s">
        <v>1030</v>
      </c>
      <c r="W204" s="249" t="s">
        <v>1031</v>
      </c>
      <c r="X204" s="253"/>
      <c r="Y204" s="254" t="s">
        <v>863</v>
      </c>
      <c r="Z204" s="255" t="s">
        <v>550</v>
      </c>
      <c r="AA204" s="256"/>
      <c r="AB204" s="257" t="s">
        <v>550</v>
      </c>
      <c r="AC204" s="256"/>
      <c r="AD204" s="255" t="s">
        <v>550</v>
      </c>
      <c r="AE204" s="257" t="s">
        <v>550</v>
      </c>
      <c r="AF204" s="256"/>
      <c r="AG204" s="253"/>
      <c r="AH204" s="258" t="s">
        <v>550</v>
      </c>
      <c r="AI204" s="258" t="s">
        <v>550</v>
      </c>
    </row>
    <row r="205" spans="1:35" ht="15.75">
      <c r="A205" s="237">
        <v>130</v>
      </c>
      <c r="B205" s="238" t="s">
        <v>55</v>
      </c>
      <c r="C205" s="239" t="s">
        <v>1056</v>
      </c>
      <c r="D205" s="240"/>
      <c r="E205" s="275">
        <v>112.986</v>
      </c>
      <c r="F205" s="242">
        <v>2680</v>
      </c>
      <c r="G205" s="243">
        <v>10</v>
      </c>
      <c r="H205" s="245">
        <v>3181</v>
      </c>
      <c r="I205" s="243">
        <v>10</v>
      </c>
      <c r="J205" s="245">
        <v>123.6</v>
      </c>
      <c r="K205" s="243">
        <v>10</v>
      </c>
      <c r="L205" s="245"/>
      <c r="M205" s="242">
        <v>2</v>
      </c>
      <c r="N205" s="242">
        <f>10^M205</f>
        <v>100</v>
      </c>
      <c r="O205" s="242">
        <v>1.5952685743822035</v>
      </c>
      <c r="P205" s="242">
        <f>10^O205</f>
        <v>39.379352814052254</v>
      </c>
      <c r="Q205" s="238" t="s">
        <v>550</v>
      </c>
      <c r="R205" s="238" t="s">
        <v>550</v>
      </c>
      <c r="S205" s="277"/>
      <c r="T205" s="245">
        <v>1.4E-2</v>
      </c>
      <c r="U205" s="245">
        <v>4.0000000000000001E-3</v>
      </c>
      <c r="V205" s="245">
        <f>0.00001/0.036</f>
        <v>2.7777777777777783E-4</v>
      </c>
      <c r="W205" s="245">
        <f>0.00001/0.01</f>
        <v>1E-3</v>
      </c>
      <c r="X205" s="247"/>
      <c r="Y205" s="242"/>
      <c r="Z205" s="242"/>
      <c r="AA205" s="245"/>
      <c r="AB205" s="242"/>
      <c r="AC205" s="245"/>
      <c r="AD205" s="242"/>
      <c r="AE205" s="242"/>
      <c r="AF205" s="245"/>
      <c r="AG205" s="240"/>
      <c r="AH205" s="248"/>
      <c r="AI205" s="248"/>
    </row>
    <row r="206" spans="1:35" ht="191.25">
      <c r="A206" s="237"/>
      <c r="B206" s="256"/>
      <c r="C206" s="239"/>
      <c r="D206" s="240"/>
      <c r="E206" s="250" t="s">
        <v>746</v>
      </c>
      <c r="F206" s="256" t="s">
        <v>1057</v>
      </c>
      <c r="G206" s="264"/>
      <c r="H206" s="251" t="s">
        <v>1058</v>
      </c>
      <c r="I206" s="251"/>
      <c r="J206" s="244" t="s">
        <v>686</v>
      </c>
      <c r="K206" s="270"/>
      <c r="L206" s="249" t="s">
        <v>761</v>
      </c>
      <c r="M206" s="249" t="s">
        <v>746</v>
      </c>
      <c r="N206" s="242"/>
      <c r="O206" s="249" t="s">
        <v>1059</v>
      </c>
      <c r="P206" s="242"/>
      <c r="Q206" s="249" t="s">
        <v>693</v>
      </c>
      <c r="R206" s="249" t="s">
        <v>693</v>
      </c>
      <c r="S206" s="278"/>
      <c r="T206" s="249" t="s">
        <v>1060</v>
      </c>
      <c r="U206" s="249" t="s">
        <v>1061</v>
      </c>
      <c r="V206" s="249" t="s">
        <v>1062</v>
      </c>
      <c r="W206" s="249" t="s">
        <v>1063</v>
      </c>
      <c r="X206" s="253"/>
      <c r="Y206" s="254"/>
      <c r="Z206" s="255"/>
      <c r="AA206" s="256"/>
      <c r="AB206" s="257"/>
      <c r="AC206" s="256"/>
      <c r="AD206" s="255"/>
      <c r="AE206" s="257"/>
      <c r="AF206" s="256"/>
      <c r="AG206" s="253"/>
      <c r="AH206" s="258"/>
      <c r="AI206" s="258"/>
    </row>
    <row r="207" spans="1:35" ht="15.75">
      <c r="A207" s="237">
        <v>131</v>
      </c>
      <c r="B207" s="245" t="s">
        <v>142</v>
      </c>
      <c r="C207" s="239" t="s">
        <v>1049</v>
      </c>
      <c r="D207" s="240"/>
      <c r="E207" s="275">
        <v>380.90899999999999</v>
      </c>
      <c r="F207" s="260">
        <v>0.09</v>
      </c>
      <c r="G207" s="261">
        <v>15</v>
      </c>
      <c r="H207" s="276">
        <v>3.3699289999999998E-3</v>
      </c>
      <c r="I207" s="261">
        <v>10</v>
      </c>
      <c r="J207" s="276">
        <v>2.94</v>
      </c>
      <c r="K207" s="261">
        <v>20</v>
      </c>
      <c r="L207" s="245">
        <v>4.9999999999999998E-7</v>
      </c>
      <c r="M207" s="242">
        <v>4.84</v>
      </c>
      <c r="N207" s="242">
        <f>10^M207</f>
        <v>69183.097091893651</v>
      </c>
      <c r="O207" s="242">
        <v>4.8433442273117358</v>
      </c>
      <c r="P207" s="242">
        <f>10^O207</f>
        <v>69717.888799706619</v>
      </c>
      <c r="Q207" s="245" t="s">
        <v>550</v>
      </c>
      <c r="R207" s="245" t="s">
        <v>550</v>
      </c>
      <c r="S207" s="277"/>
      <c r="T207" s="245">
        <v>5.0000000000000002E-5</v>
      </c>
      <c r="U207" s="238"/>
      <c r="V207" s="245">
        <f>0.00001/16</f>
        <v>6.2500000000000005E-7</v>
      </c>
      <c r="W207" s="245"/>
      <c r="X207" s="247"/>
      <c r="Y207" s="242"/>
      <c r="Z207" s="242"/>
      <c r="AA207" s="245"/>
      <c r="AB207" s="242"/>
      <c r="AC207" s="245"/>
      <c r="AD207" s="242"/>
      <c r="AE207" s="242"/>
      <c r="AF207" s="245"/>
      <c r="AG207" s="240"/>
      <c r="AH207" s="248"/>
      <c r="AI207" s="248"/>
    </row>
    <row r="208" spans="1:35" ht="242.25">
      <c r="A208" s="237"/>
      <c r="B208" s="249"/>
      <c r="C208" s="239"/>
      <c r="D208" s="240"/>
      <c r="E208" s="250" t="s">
        <v>1023</v>
      </c>
      <c r="F208" s="251" t="s">
        <v>1050</v>
      </c>
      <c r="G208" s="251"/>
      <c r="H208" s="251" t="s">
        <v>1051</v>
      </c>
      <c r="I208" s="251"/>
      <c r="J208" s="244" t="s">
        <v>686</v>
      </c>
      <c r="K208" s="264"/>
      <c r="L208" s="249" t="s">
        <v>690</v>
      </c>
      <c r="M208" s="251" t="s">
        <v>1052</v>
      </c>
      <c r="N208" s="242"/>
      <c r="O208" s="249" t="s">
        <v>1053</v>
      </c>
      <c r="P208" s="242"/>
      <c r="Q208" s="265" t="s">
        <v>812</v>
      </c>
      <c r="R208" s="265" t="s">
        <v>812</v>
      </c>
      <c r="S208" s="278"/>
      <c r="T208" s="249" t="s">
        <v>1054</v>
      </c>
      <c r="U208" s="249"/>
      <c r="V208" s="249" t="s">
        <v>1055</v>
      </c>
      <c r="W208" s="249"/>
      <c r="X208" s="253"/>
      <c r="Y208" s="254"/>
      <c r="Z208" s="255" t="s">
        <v>550</v>
      </c>
      <c r="AA208" s="256"/>
      <c r="AB208" s="257" t="s">
        <v>550</v>
      </c>
      <c r="AC208" s="256"/>
      <c r="AD208" s="255"/>
      <c r="AE208" s="257"/>
      <c r="AF208" s="256"/>
      <c r="AG208" s="253"/>
      <c r="AH208" s="258" t="s">
        <v>550</v>
      </c>
      <c r="AI208" s="258" t="s">
        <v>550</v>
      </c>
    </row>
    <row r="209" spans="1:35" ht="15.75">
      <c r="A209" s="237">
        <v>133</v>
      </c>
      <c r="B209" s="238" t="s">
        <v>140</v>
      </c>
      <c r="C209" s="239" t="s">
        <v>1032</v>
      </c>
      <c r="D209" s="240"/>
      <c r="E209" s="241">
        <v>389.31700000000001</v>
      </c>
      <c r="F209" s="235">
        <v>0.11</v>
      </c>
      <c r="G209" s="261">
        <v>15</v>
      </c>
      <c r="H209" s="245">
        <v>3.4699999999999998E-4</v>
      </c>
      <c r="I209" s="243">
        <v>20</v>
      </c>
      <c r="J209" s="245">
        <v>2.13</v>
      </c>
      <c r="K209" s="243">
        <v>25</v>
      </c>
      <c r="L209" s="245"/>
      <c r="M209" s="242">
        <v>4.7614735180850962</v>
      </c>
      <c r="N209" s="242">
        <f>10^M209</f>
        <v>57739.56638645356</v>
      </c>
      <c r="O209" s="242">
        <v>4.0591846421731486</v>
      </c>
      <c r="P209" s="242">
        <f>10^O209</f>
        <v>11460.000647599254</v>
      </c>
      <c r="Q209" s="238" t="s">
        <v>550</v>
      </c>
      <c r="R209" s="238" t="s">
        <v>550</v>
      </c>
      <c r="S209" s="246"/>
      <c r="T209" s="245">
        <v>1.2999999999999999E-5</v>
      </c>
      <c r="U209" s="245"/>
      <c r="V209" s="238">
        <f>0.00001/9.1</f>
        <v>1.098901098901099E-6</v>
      </c>
      <c r="W209" s="238">
        <f>0.00001/2.6</f>
        <v>3.8461538461538459E-6</v>
      </c>
      <c r="X209" s="240"/>
      <c r="Y209" s="242"/>
      <c r="Z209" s="242"/>
      <c r="AA209" s="245"/>
      <c r="AB209" s="242"/>
      <c r="AC209" s="245"/>
      <c r="AD209" s="242"/>
      <c r="AE209" s="242"/>
      <c r="AF209" s="245"/>
      <c r="AG209" s="240"/>
      <c r="AH209" s="248"/>
      <c r="AI209" s="248"/>
    </row>
    <row r="210" spans="1:35" ht="191.25">
      <c r="A210" s="237"/>
      <c r="B210" s="249"/>
      <c r="C210" s="239"/>
      <c r="D210" s="240"/>
      <c r="E210" s="250" t="s">
        <v>1023</v>
      </c>
      <c r="F210" s="251" t="s">
        <v>1033</v>
      </c>
      <c r="G210" s="251"/>
      <c r="H210" s="251" t="s">
        <v>1034</v>
      </c>
      <c r="I210" s="251"/>
      <c r="J210" s="244" t="s">
        <v>686</v>
      </c>
      <c r="K210" s="270"/>
      <c r="L210" s="251" t="s">
        <v>761</v>
      </c>
      <c r="M210" s="251" t="s">
        <v>1035</v>
      </c>
      <c r="N210" s="242"/>
      <c r="O210" s="249" t="s">
        <v>1036</v>
      </c>
      <c r="P210" s="242"/>
      <c r="Q210" s="265"/>
      <c r="R210" s="265"/>
      <c r="S210" s="268"/>
      <c r="T210" s="249" t="s">
        <v>1037</v>
      </c>
      <c r="U210" s="249"/>
      <c r="V210" s="249" t="s">
        <v>1038</v>
      </c>
      <c r="W210" s="249" t="s">
        <v>1039</v>
      </c>
      <c r="X210" s="253"/>
      <c r="Y210" s="254"/>
      <c r="Z210" s="255" t="s">
        <v>550</v>
      </c>
      <c r="AA210" s="256"/>
      <c r="AB210" s="257" t="s">
        <v>550</v>
      </c>
      <c r="AC210" s="256"/>
      <c r="AD210" s="255" t="s">
        <v>550</v>
      </c>
      <c r="AE210" s="257" t="s">
        <v>550</v>
      </c>
      <c r="AF210" s="256"/>
      <c r="AG210" s="253"/>
      <c r="AH210" s="258" t="s">
        <v>550</v>
      </c>
      <c r="AI210" s="258" t="s">
        <v>550</v>
      </c>
    </row>
    <row r="211" spans="1:35" ht="15.75">
      <c r="A211" s="237">
        <v>136</v>
      </c>
      <c r="B211" s="238" t="s">
        <v>141</v>
      </c>
      <c r="C211" s="272" t="s">
        <v>1040</v>
      </c>
      <c r="D211" s="259"/>
      <c r="E211" s="241">
        <v>290.83</v>
      </c>
      <c r="F211" s="235">
        <v>6.5</v>
      </c>
      <c r="G211" s="261">
        <v>15</v>
      </c>
      <c r="H211" s="245">
        <v>1.4500000000000001E-2</v>
      </c>
      <c r="I211" s="243">
        <v>10</v>
      </c>
      <c r="J211" s="245">
        <v>6.2E-2</v>
      </c>
      <c r="K211" s="243">
        <v>10</v>
      </c>
      <c r="L211" s="245">
        <v>4.9999999999999998E-7</v>
      </c>
      <c r="M211" s="242">
        <v>3.63</v>
      </c>
      <c r="N211" s="242">
        <f>10^M211</f>
        <v>4265.7951880159299</v>
      </c>
      <c r="O211" s="242">
        <v>2.92</v>
      </c>
      <c r="P211" s="242">
        <f>10^O211</f>
        <v>831.7637711026714</v>
      </c>
      <c r="Q211" s="265" t="s">
        <v>550</v>
      </c>
      <c r="R211" s="265" t="s">
        <v>550</v>
      </c>
      <c r="S211" s="271"/>
      <c r="T211" s="245">
        <v>4.0000000000000003E-5</v>
      </c>
      <c r="U211" s="245">
        <v>1.3999999999999999E-4</v>
      </c>
      <c r="V211" s="245">
        <f>0.00001/1.1</f>
        <v>9.090909090909091E-6</v>
      </c>
      <c r="W211" s="245">
        <f>0.00001/0.31</f>
        <v>3.2258064516129034E-5</v>
      </c>
      <c r="X211" s="247"/>
      <c r="Y211" s="242"/>
      <c r="Z211" s="242"/>
      <c r="AA211" s="245"/>
      <c r="AB211" s="242"/>
      <c r="AC211" s="245"/>
      <c r="AD211" s="242"/>
      <c r="AE211" s="242"/>
      <c r="AF211" s="245"/>
      <c r="AG211" s="240"/>
      <c r="AH211" s="248"/>
      <c r="AI211" s="248"/>
    </row>
    <row r="212" spans="1:35" ht="242.25">
      <c r="A212" s="237"/>
      <c r="B212" s="249"/>
      <c r="C212" s="272"/>
      <c r="D212" s="259"/>
      <c r="E212" s="250" t="s">
        <v>712</v>
      </c>
      <c r="F212" s="251" t="s">
        <v>1041</v>
      </c>
      <c r="G212" s="251"/>
      <c r="H212" s="251" t="s">
        <v>1042</v>
      </c>
      <c r="I212" s="251"/>
      <c r="J212" s="244" t="s">
        <v>686</v>
      </c>
      <c r="K212" s="251"/>
      <c r="L212" s="251" t="s">
        <v>690</v>
      </c>
      <c r="M212" s="251" t="s">
        <v>1043</v>
      </c>
      <c r="N212" s="242"/>
      <c r="O212" s="249" t="s">
        <v>1044</v>
      </c>
      <c r="P212" s="242"/>
      <c r="Q212" s="265"/>
      <c r="R212" s="265"/>
      <c r="S212" s="273"/>
      <c r="T212" s="249" t="s">
        <v>1045</v>
      </c>
      <c r="U212" s="254" t="s">
        <v>1046</v>
      </c>
      <c r="V212" s="256" t="s">
        <v>1047</v>
      </c>
      <c r="W212" s="256" t="s">
        <v>1048</v>
      </c>
      <c r="X212" s="274"/>
      <c r="Y212" s="254"/>
      <c r="Z212" s="255" t="s">
        <v>550</v>
      </c>
      <c r="AA212" s="256"/>
      <c r="AB212" s="257" t="s">
        <v>550</v>
      </c>
      <c r="AC212" s="256"/>
      <c r="AD212" s="255" t="s">
        <v>550</v>
      </c>
      <c r="AE212" s="257" t="s">
        <v>550</v>
      </c>
      <c r="AF212" s="256"/>
      <c r="AG212" s="253"/>
      <c r="AH212" s="258" t="s">
        <v>550</v>
      </c>
      <c r="AI212" s="258" t="s">
        <v>550</v>
      </c>
    </row>
    <row r="213" spans="1:35">
      <c r="A213" s="237">
        <v>151</v>
      </c>
      <c r="B213" s="238" t="s">
        <v>174</v>
      </c>
      <c r="C213" s="296" t="s">
        <v>550</v>
      </c>
      <c r="D213" s="240"/>
      <c r="E213" s="241">
        <v>269.76799999999997</v>
      </c>
      <c r="F213" s="242">
        <v>242</v>
      </c>
      <c r="G213" s="243">
        <v>20</v>
      </c>
      <c r="H213" s="294">
        <v>3.0000000000000001E-3</v>
      </c>
      <c r="I213" s="243">
        <v>20</v>
      </c>
      <c r="J213" s="245">
        <v>6.1999999999999998E-3</v>
      </c>
      <c r="K213" s="243">
        <v>10</v>
      </c>
      <c r="L213" s="245"/>
      <c r="M213" s="242">
        <v>3.0880000000000001</v>
      </c>
      <c r="N213" s="242">
        <f>10^M213</f>
        <v>1224.61619926505</v>
      </c>
      <c r="O213" s="242">
        <v>2.25</v>
      </c>
      <c r="P213" s="242">
        <f>10^O213</f>
        <v>177.82794100389242</v>
      </c>
      <c r="Q213" s="238">
        <v>0.62</v>
      </c>
      <c r="R213" s="238">
        <v>1</v>
      </c>
      <c r="S213" s="246"/>
      <c r="T213" s="245">
        <v>0.01</v>
      </c>
      <c r="U213" s="245"/>
      <c r="V213" s="245">
        <f>0.00001/0.056</f>
        <v>1.7857142857142857E-4</v>
      </c>
      <c r="W213" s="245"/>
      <c r="X213" s="247"/>
      <c r="Y213" s="242"/>
      <c r="Z213" s="242"/>
      <c r="AA213" s="245"/>
      <c r="AB213" s="242"/>
      <c r="AC213" s="245"/>
      <c r="AD213" s="242"/>
      <c r="AE213" s="242"/>
      <c r="AF213" s="245"/>
      <c r="AG213" s="240"/>
      <c r="AH213" s="248"/>
      <c r="AI213" s="248"/>
    </row>
    <row r="214" spans="1:35" ht="102">
      <c r="A214" s="237"/>
      <c r="B214" s="249"/>
      <c r="C214" s="239"/>
      <c r="D214" s="240"/>
      <c r="E214" s="250" t="s">
        <v>985</v>
      </c>
      <c r="F214" s="251" t="s">
        <v>986</v>
      </c>
      <c r="G214" s="251"/>
      <c r="H214" s="251" t="s">
        <v>987</v>
      </c>
      <c r="I214" s="251"/>
      <c r="J214" s="244" t="s">
        <v>686</v>
      </c>
      <c r="K214" s="251"/>
      <c r="L214" s="251" t="s">
        <v>1220</v>
      </c>
      <c r="M214" s="251" t="s">
        <v>1221</v>
      </c>
      <c r="N214" s="242"/>
      <c r="O214" s="251" t="s">
        <v>1222</v>
      </c>
      <c r="P214" s="242"/>
      <c r="Q214" s="249" t="s">
        <v>1223</v>
      </c>
      <c r="R214" s="249" t="s">
        <v>1224</v>
      </c>
      <c r="S214" s="252"/>
      <c r="T214" s="249" t="s">
        <v>694</v>
      </c>
      <c r="U214" s="249"/>
      <c r="V214" s="249" t="s">
        <v>1225</v>
      </c>
      <c r="W214" s="249"/>
      <c r="X214" s="253"/>
      <c r="Y214" s="254"/>
      <c r="Z214" s="255"/>
      <c r="AA214" s="256"/>
      <c r="AB214" s="257"/>
      <c r="AC214" s="256"/>
      <c r="AD214" s="255"/>
      <c r="AE214" s="257"/>
      <c r="AF214" s="256"/>
      <c r="AG214" s="253"/>
      <c r="AH214" s="258"/>
      <c r="AI214" s="258"/>
    </row>
    <row r="215" spans="1:35">
      <c r="A215" s="237">
        <v>152</v>
      </c>
      <c r="B215" s="238" t="s">
        <v>150</v>
      </c>
      <c r="C215" s="239" t="s">
        <v>1226</v>
      </c>
      <c r="D215" s="240"/>
      <c r="E215" s="241">
        <v>215.684</v>
      </c>
      <c r="F215" s="238">
        <v>30</v>
      </c>
      <c r="G215" s="243">
        <v>20</v>
      </c>
      <c r="H215" s="294">
        <v>4.0000000000000003E-5</v>
      </c>
      <c r="I215" s="243">
        <v>20</v>
      </c>
      <c r="J215" s="245">
        <v>3.0800000000000001E-4</v>
      </c>
      <c r="K215" s="243">
        <v>10</v>
      </c>
      <c r="L215" s="245">
        <v>1.9999999999999999E-7</v>
      </c>
      <c r="M215" s="242">
        <v>2.4900000000000002</v>
      </c>
      <c r="N215" s="242">
        <f>10^M215</f>
        <v>309.02954325135937</v>
      </c>
      <c r="O215" s="242">
        <v>2.16</v>
      </c>
      <c r="P215" s="242">
        <f>10^O215</f>
        <v>144.54397707459285</v>
      </c>
      <c r="Q215" s="238">
        <v>1.68</v>
      </c>
      <c r="R215" s="238">
        <v>2</v>
      </c>
      <c r="S215" s="246"/>
      <c r="T215" s="245">
        <v>5.0000000000000001E-3</v>
      </c>
      <c r="U215" s="245"/>
      <c r="V215" s="238">
        <f>0.00001/0.23</f>
        <v>4.347826086956522E-5</v>
      </c>
      <c r="W215" s="238"/>
      <c r="X215" s="240"/>
      <c r="Y215" s="242"/>
      <c r="Z215" s="242"/>
      <c r="AA215" s="245"/>
      <c r="AB215" s="242"/>
      <c r="AC215" s="245"/>
      <c r="AD215" s="242"/>
      <c r="AE215" s="242"/>
      <c r="AF215" s="245"/>
      <c r="AG215" s="240"/>
      <c r="AH215" s="248"/>
      <c r="AI215" s="248"/>
    </row>
    <row r="216" spans="1:35" ht="242.25">
      <c r="A216" s="237"/>
      <c r="B216" s="249"/>
      <c r="C216" s="239"/>
      <c r="D216" s="240"/>
      <c r="E216" s="250" t="s">
        <v>691</v>
      </c>
      <c r="F216" s="251" t="s">
        <v>1227</v>
      </c>
      <c r="G216" s="251"/>
      <c r="H216" s="251" t="s">
        <v>1227</v>
      </c>
      <c r="I216" s="251"/>
      <c r="J216" s="244" t="s">
        <v>686</v>
      </c>
      <c r="K216" s="251"/>
      <c r="L216" s="251" t="s">
        <v>690</v>
      </c>
      <c r="M216" s="251" t="s">
        <v>1228</v>
      </c>
      <c r="N216" s="242"/>
      <c r="O216" s="251" t="s">
        <v>1229</v>
      </c>
      <c r="P216" s="242"/>
      <c r="Q216" s="251" t="s">
        <v>1230</v>
      </c>
      <c r="R216" s="249" t="s">
        <v>1231</v>
      </c>
      <c r="S216" s="252"/>
      <c r="T216" s="249" t="s">
        <v>876</v>
      </c>
      <c r="U216" s="249"/>
      <c r="V216" s="249" t="s">
        <v>1232</v>
      </c>
      <c r="W216" s="249"/>
      <c r="X216" s="253"/>
      <c r="Y216" s="254"/>
      <c r="Z216" s="255"/>
      <c r="AA216" s="256"/>
      <c r="AB216" s="257"/>
      <c r="AC216" s="256"/>
      <c r="AD216" s="255"/>
      <c r="AE216" s="257"/>
      <c r="AF216" s="256"/>
      <c r="AG216" s="253"/>
      <c r="AH216" s="258"/>
      <c r="AI216" s="258"/>
    </row>
    <row r="217" spans="1:35">
      <c r="A217" s="237">
        <v>153</v>
      </c>
      <c r="B217" s="238" t="s">
        <v>178</v>
      </c>
      <c r="C217" s="239" t="s">
        <v>1233</v>
      </c>
      <c r="D217" s="240"/>
      <c r="E217" s="241">
        <v>240.27799999999999</v>
      </c>
      <c r="F217" s="260">
        <v>500</v>
      </c>
      <c r="G217" s="261">
        <v>20</v>
      </c>
      <c r="H217" s="245">
        <v>4.6000000000000001E-4</v>
      </c>
      <c r="I217" s="243" t="s">
        <v>550</v>
      </c>
      <c r="J217" s="245">
        <v>2.2100000000000001E-4</v>
      </c>
      <c r="K217" s="243">
        <v>10</v>
      </c>
      <c r="L217" s="245"/>
      <c r="M217" s="242">
        <v>2.8</v>
      </c>
      <c r="N217" s="242">
        <f>10^M217</f>
        <v>630.95734448019323</v>
      </c>
      <c r="O217" s="242">
        <v>2.41</v>
      </c>
      <c r="P217" s="242">
        <f>10^O217</f>
        <v>257.03957827688663</v>
      </c>
      <c r="Q217" s="238">
        <v>3.3</v>
      </c>
      <c r="R217" s="238">
        <v>1</v>
      </c>
      <c r="S217" s="262"/>
      <c r="T217" s="245">
        <v>0.03</v>
      </c>
      <c r="U217" s="245"/>
      <c r="V217" s="245"/>
      <c r="W217" s="245"/>
      <c r="X217" s="247"/>
      <c r="Y217" s="242"/>
      <c r="Z217" s="242"/>
      <c r="AA217" s="245"/>
      <c r="AB217" s="242"/>
      <c r="AC217" s="245"/>
      <c r="AD217" s="242"/>
      <c r="AE217" s="242"/>
      <c r="AF217" s="245"/>
      <c r="AG217" s="240"/>
      <c r="AH217" s="248"/>
      <c r="AI217" s="248"/>
    </row>
    <row r="218" spans="1:35" ht="76.5">
      <c r="A218" s="237"/>
      <c r="B218" s="249"/>
      <c r="C218" s="239"/>
      <c r="D218" s="240"/>
      <c r="E218" s="250" t="s">
        <v>691</v>
      </c>
      <c r="F218" s="249" t="s">
        <v>1234</v>
      </c>
      <c r="G218" s="251"/>
      <c r="H218" s="251" t="s">
        <v>550</v>
      </c>
      <c r="I218" s="251"/>
      <c r="J218" s="249" t="s">
        <v>1219</v>
      </c>
      <c r="K218" s="251"/>
      <c r="L218" s="251" t="s">
        <v>1220</v>
      </c>
      <c r="M218" s="265" t="s">
        <v>1235</v>
      </c>
      <c r="N218" s="242"/>
      <c r="O218" s="251" t="s">
        <v>1236</v>
      </c>
      <c r="P218" s="242"/>
      <c r="Q218" s="265" t="s">
        <v>1235</v>
      </c>
      <c r="R218" s="265" t="s">
        <v>1237</v>
      </c>
      <c r="S218" s="266"/>
      <c r="T218" s="249" t="s">
        <v>1238</v>
      </c>
      <c r="U218" s="249"/>
      <c r="V218" s="249"/>
      <c r="W218" s="249"/>
      <c r="X218" s="253"/>
      <c r="Y218" s="254"/>
      <c r="Z218" s="255"/>
      <c r="AA218" s="256"/>
      <c r="AB218" s="257"/>
      <c r="AC218" s="256"/>
      <c r="AD218" s="255"/>
      <c r="AE218" s="257"/>
      <c r="AF218" s="256"/>
      <c r="AG218" s="253"/>
      <c r="AH218" s="258"/>
      <c r="AI218" s="258"/>
    </row>
    <row r="219" spans="1:35">
      <c r="A219" s="237">
        <v>154</v>
      </c>
      <c r="B219" s="238" t="s">
        <v>151</v>
      </c>
      <c r="C219" s="239" t="s">
        <v>1239</v>
      </c>
      <c r="D219" s="240"/>
      <c r="E219" s="241">
        <v>261.11500000000001</v>
      </c>
      <c r="F219" s="235">
        <v>815</v>
      </c>
      <c r="G219" s="261">
        <v>20</v>
      </c>
      <c r="H219" s="245">
        <v>5.0000000000000002E-5</v>
      </c>
      <c r="I219" s="243">
        <v>20</v>
      </c>
      <c r="J219" s="245">
        <v>1.06E-5</v>
      </c>
      <c r="K219" s="243">
        <v>10</v>
      </c>
      <c r="L219" s="245"/>
      <c r="M219" s="242">
        <v>1.86</v>
      </c>
      <c r="N219" s="242">
        <f>10^M219</f>
        <v>72.443596007499067</v>
      </c>
      <c r="O219" s="242">
        <v>1.83</v>
      </c>
      <c r="P219" s="242">
        <f>10^O219</f>
        <v>67.60829753919819</v>
      </c>
      <c r="Q219" s="238">
        <v>9.1</v>
      </c>
      <c r="R219" s="238">
        <v>1</v>
      </c>
      <c r="S219" s="267"/>
      <c r="T219" s="245"/>
      <c r="U219" s="245"/>
      <c r="V219" s="238"/>
      <c r="W219" s="238"/>
      <c r="X219" s="240"/>
      <c r="Y219" s="242"/>
      <c r="Z219" s="242"/>
      <c r="AA219" s="245"/>
      <c r="AB219" s="242"/>
      <c r="AC219" s="245"/>
      <c r="AD219" s="242"/>
      <c r="AE219" s="242"/>
      <c r="AF219" s="245"/>
      <c r="AG219" s="240"/>
      <c r="AH219" s="248"/>
      <c r="AI219" s="248"/>
    </row>
    <row r="220" spans="1:35" ht="102">
      <c r="A220" s="237"/>
      <c r="B220" s="249"/>
      <c r="C220" s="239"/>
      <c r="D220" s="240"/>
      <c r="E220" s="250" t="s">
        <v>691</v>
      </c>
      <c r="F220" s="251" t="s">
        <v>1240</v>
      </c>
      <c r="G220" s="251"/>
      <c r="H220" s="251" t="s">
        <v>1241</v>
      </c>
      <c r="I220" s="251"/>
      <c r="J220" s="244" t="s">
        <v>686</v>
      </c>
      <c r="K220" s="251"/>
      <c r="L220" s="251" t="s">
        <v>1220</v>
      </c>
      <c r="M220" s="251" t="s">
        <v>1242</v>
      </c>
      <c r="N220" s="242"/>
      <c r="O220" s="251" t="s">
        <v>1243</v>
      </c>
      <c r="P220" s="242"/>
      <c r="Q220" s="249" t="s">
        <v>1244</v>
      </c>
      <c r="R220" s="249" t="s">
        <v>1245</v>
      </c>
      <c r="S220" s="268"/>
      <c r="T220" s="249"/>
      <c r="U220" s="249"/>
      <c r="V220" s="249"/>
      <c r="W220" s="249"/>
      <c r="X220" s="253"/>
      <c r="Y220" s="254"/>
      <c r="Z220" s="255"/>
      <c r="AA220" s="256"/>
      <c r="AB220" s="257"/>
      <c r="AC220" s="256"/>
      <c r="AD220" s="255"/>
      <c r="AE220" s="257"/>
      <c r="AF220" s="256"/>
      <c r="AG220" s="253"/>
      <c r="AH220" s="258"/>
      <c r="AI220" s="258"/>
    </row>
    <row r="221" spans="1:35">
      <c r="A221" s="237">
        <v>155</v>
      </c>
      <c r="B221" s="238" t="s">
        <v>415</v>
      </c>
      <c r="C221" s="239" t="s">
        <v>1246</v>
      </c>
      <c r="D221" s="240"/>
      <c r="E221" s="241">
        <v>191.18600000000001</v>
      </c>
      <c r="F221" s="235">
        <v>8</v>
      </c>
      <c r="G221" s="261">
        <v>20</v>
      </c>
      <c r="H221" s="245">
        <v>9.0000000000000006E-5</v>
      </c>
      <c r="I221" s="243">
        <v>20</v>
      </c>
      <c r="J221" s="245">
        <v>1.55E-6</v>
      </c>
      <c r="K221" s="243">
        <v>10</v>
      </c>
      <c r="L221" s="245"/>
      <c r="M221" s="242">
        <v>1.5</v>
      </c>
      <c r="N221" s="242">
        <f>10^M221</f>
        <v>31.622776601683803</v>
      </c>
      <c r="O221" s="242">
        <v>2.48</v>
      </c>
      <c r="P221" s="242">
        <f>10^O221</f>
        <v>301.99517204020168</v>
      </c>
      <c r="Q221" s="238">
        <v>4.4800000000000004</v>
      </c>
      <c r="R221" s="238">
        <v>2</v>
      </c>
      <c r="S221" s="246"/>
      <c r="T221" s="245">
        <v>0.02</v>
      </c>
      <c r="U221" s="245"/>
      <c r="V221" s="245"/>
      <c r="W221" s="238"/>
      <c r="X221" s="240"/>
      <c r="Y221" s="242"/>
      <c r="Z221" s="242"/>
      <c r="AA221" s="245"/>
      <c r="AB221" s="242"/>
      <c r="AC221" s="245"/>
      <c r="AD221" s="242"/>
      <c r="AE221" s="242"/>
      <c r="AF221" s="245"/>
      <c r="AG221" s="240"/>
      <c r="AH221" s="248"/>
      <c r="AI221" s="248"/>
    </row>
    <row r="222" spans="1:35" ht="102">
      <c r="A222" s="237"/>
      <c r="B222" s="249"/>
      <c r="C222" s="239"/>
      <c r="D222" s="240"/>
      <c r="E222" s="250" t="s">
        <v>691</v>
      </c>
      <c r="F222" s="251" t="s">
        <v>1240</v>
      </c>
      <c r="G222" s="251"/>
      <c r="H222" s="251" t="s">
        <v>1240</v>
      </c>
      <c r="I222" s="251"/>
      <c r="J222" s="244" t="s">
        <v>686</v>
      </c>
      <c r="K222" s="251"/>
      <c r="L222" s="251" t="s">
        <v>1220</v>
      </c>
      <c r="M222" s="251" t="s">
        <v>1247</v>
      </c>
      <c r="N222" s="242"/>
      <c r="O222" s="251" t="s">
        <v>1248</v>
      </c>
      <c r="P222" s="242"/>
      <c r="Q222" s="249" t="s">
        <v>691</v>
      </c>
      <c r="R222" s="249" t="s">
        <v>1249</v>
      </c>
      <c r="S222" s="252"/>
      <c r="T222" s="249" t="s">
        <v>1250</v>
      </c>
      <c r="U222" s="249"/>
      <c r="V222" s="249"/>
      <c r="W222" s="249"/>
      <c r="X222" s="253"/>
      <c r="Y222" s="254"/>
      <c r="Z222" s="255"/>
      <c r="AA222" s="256"/>
      <c r="AB222" s="257"/>
      <c r="AC222" s="256"/>
      <c r="AD222" s="255"/>
      <c r="AE222" s="257"/>
      <c r="AF222" s="256"/>
      <c r="AG222" s="253"/>
      <c r="AH222" s="258"/>
      <c r="AI222" s="258"/>
    </row>
    <row r="223" spans="1:35">
      <c r="A223" s="237">
        <v>156</v>
      </c>
      <c r="B223" s="238" t="s">
        <v>152</v>
      </c>
      <c r="C223" s="239" t="s">
        <v>1251</v>
      </c>
      <c r="D223" s="240"/>
      <c r="E223" s="241">
        <v>236.267</v>
      </c>
      <c r="F223" s="235">
        <v>3500</v>
      </c>
      <c r="G223" s="261">
        <v>20</v>
      </c>
      <c r="H223" s="245">
        <v>1E-3</v>
      </c>
      <c r="I223" s="243">
        <v>20</v>
      </c>
      <c r="J223" s="245" t="s">
        <v>550</v>
      </c>
      <c r="K223" s="243" t="s">
        <v>550</v>
      </c>
      <c r="L223" s="245"/>
      <c r="M223" s="242">
        <v>1.63</v>
      </c>
      <c r="N223" s="242">
        <f>10^M223</f>
        <v>42.657951880159267</v>
      </c>
      <c r="O223" s="242">
        <v>1.24</v>
      </c>
      <c r="P223" s="242">
        <f>10^O223</f>
        <v>17.378008287493756</v>
      </c>
      <c r="Q223" s="238">
        <v>11.3</v>
      </c>
      <c r="R223" s="238">
        <v>1</v>
      </c>
      <c r="S223" s="246"/>
      <c r="T223" s="245"/>
      <c r="U223" s="245"/>
      <c r="V223" s="245"/>
      <c r="W223" s="245"/>
      <c r="X223" s="247"/>
      <c r="Y223" s="242"/>
      <c r="Z223" s="242"/>
      <c r="AA223" s="245"/>
      <c r="AB223" s="242"/>
      <c r="AC223" s="245"/>
      <c r="AD223" s="242"/>
      <c r="AE223" s="242"/>
      <c r="AF223" s="245"/>
      <c r="AG223" s="240"/>
      <c r="AH223" s="248"/>
      <c r="AI223" s="248"/>
    </row>
    <row r="224" spans="1:35" ht="38.25">
      <c r="A224" s="237"/>
      <c r="B224" s="249"/>
      <c r="C224" s="239"/>
      <c r="D224" s="240"/>
      <c r="E224" s="250" t="s">
        <v>1252</v>
      </c>
      <c r="F224" s="249" t="s">
        <v>1253</v>
      </c>
      <c r="G224" s="251"/>
      <c r="H224" s="251" t="s">
        <v>1254</v>
      </c>
      <c r="I224" s="251"/>
      <c r="J224" s="244"/>
      <c r="K224" s="251"/>
      <c r="L224" s="251" t="s">
        <v>1220</v>
      </c>
      <c r="M224" s="251" t="s">
        <v>1255</v>
      </c>
      <c r="N224" s="242"/>
      <c r="O224" s="251" t="s">
        <v>1256</v>
      </c>
      <c r="P224" s="242"/>
      <c r="Q224" s="249" t="s">
        <v>1257</v>
      </c>
      <c r="R224" s="249" t="s">
        <v>1245</v>
      </c>
      <c r="S224" s="252"/>
      <c r="T224" s="249"/>
      <c r="U224" s="249"/>
      <c r="V224" s="249"/>
      <c r="W224" s="249"/>
      <c r="X224" s="253"/>
      <c r="Y224" s="254"/>
      <c r="Z224" s="255"/>
      <c r="AA224" s="256"/>
      <c r="AB224" s="257"/>
      <c r="AC224" s="256"/>
      <c r="AD224" s="255"/>
      <c r="AE224" s="257"/>
      <c r="AF224" s="256"/>
      <c r="AG224" s="253"/>
      <c r="AH224" s="258"/>
      <c r="AI224" s="258"/>
    </row>
    <row r="225" spans="1:35">
      <c r="A225" s="237">
        <v>157</v>
      </c>
      <c r="B225" s="238" t="s">
        <v>153</v>
      </c>
      <c r="C225" s="239" t="s">
        <v>1258</v>
      </c>
      <c r="D225" s="240"/>
      <c r="E225" s="241">
        <v>221.643</v>
      </c>
      <c r="F225" s="235">
        <v>400</v>
      </c>
      <c r="G225" s="261">
        <v>20</v>
      </c>
      <c r="H225" s="245">
        <v>6.0000000000000002E-5</v>
      </c>
      <c r="I225" s="243">
        <v>20</v>
      </c>
      <c r="J225" s="245">
        <v>3.3699999999999999E-5</v>
      </c>
      <c r="K225" s="243">
        <v>10</v>
      </c>
      <c r="L225" s="245"/>
      <c r="M225" s="242">
        <v>1.3</v>
      </c>
      <c r="N225" s="242">
        <f>10^M225</f>
        <v>19.952623149688804</v>
      </c>
      <c r="O225" s="242">
        <v>2.27</v>
      </c>
      <c r="P225" s="242">
        <f>10^O225</f>
        <v>186.20871366628685</v>
      </c>
      <c r="Q225" s="238">
        <v>3.38</v>
      </c>
      <c r="R225" s="238">
        <v>1</v>
      </c>
      <c r="S225" s="269"/>
      <c r="T225" s="245">
        <v>0.1</v>
      </c>
      <c r="U225" s="245"/>
      <c r="V225" s="238"/>
      <c r="W225" s="238"/>
      <c r="X225" s="240"/>
      <c r="Y225" s="242"/>
      <c r="Z225" s="242"/>
      <c r="AA225" s="245"/>
      <c r="AB225" s="242"/>
      <c r="AC225" s="245"/>
      <c r="AD225" s="242"/>
      <c r="AE225" s="242"/>
      <c r="AF225" s="245"/>
      <c r="AG225" s="240"/>
      <c r="AH225" s="248"/>
      <c r="AI225" s="248"/>
    </row>
    <row r="226" spans="1:35" ht="102">
      <c r="A226" s="237"/>
      <c r="B226" s="249"/>
      <c r="C226" s="239"/>
      <c r="D226" s="240"/>
      <c r="E226" s="250" t="s">
        <v>1023</v>
      </c>
      <c r="F226" s="251" t="s">
        <v>1259</v>
      </c>
      <c r="G226" s="251"/>
      <c r="H226" s="249" t="s">
        <v>1260</v>
      </c>
      <c r="I226" s="251"/>
      <c r="J226" s="244" t="s">
        <v>1261</v>
      </c>
      <c r="K226" s="251"/>
      <c r="L226" s="251" t="s">
        <v>1220</v>
      </c>
      <c r="M226" s="251" t="s">
        <v>1262</v>
      </c>
      <c r="N226" s="242"/>
      <c r="O226" s="251" t="s">
        <v>1263</v>
      </c>
      <c r="P226" s="242"/>
      <c r="Q226" s="265" t="s">
        <v>1264</v>
      </c>
      <c r="R226" s="265" t="s">
        <v>1245</v>
      </c>
      <c r="S226" s="252"/>
      <c r="T226" s="249" t="s">
        <v>1250</v>
      </c>
      <c r="U226" s="249"/>
      <c r="V226" s="249"/>
      <c r="W226" s="249"/>
      <c r="X226" s="253"/>
      <c r="Y226" s="254"/>
      <c r="Z226" s="255" t="s">
        <v>550</v>
      </c>
      <c r="AA226" s="256"/>
      <c r="AB226" s="257" t="s">
        <v>550</v>
      </c>
      <c r="AC226" s="256"/>
      <c r="AD226" s="255"/>
      <c r="AE226" s="257" t="s">
        <v>550</v>
      </c>
      <c r="AF226" s="256"/>
      <c r="AG226" s="253"/>
      <c r="AH226" s="258" t="s">
        <v>550</v>
      </c>
      <c r="AI226" s="258" t="s">
        <v>550</v>
      </c>
    </row>
    <row r="227" spans="1:35">
      <c r="A227" s="237">
        <v>158</v>
      </c>
      <c r="B227" s="238" t="s">
        <v>416</v>
      </c>
      <c r="C227" s="239" t="s">
        <v>1265</v>
      </c>
      <c r="D227" s="240"/>
      <c r="E227" s="241">
        <v>213.661</v>
      </c>
      <c r="F227" s="235">
        <v>108</v>
      </c>
      <c r="G227" s="261">
        <v>20</v>
      </c>
      <c r="H227" s="245">
        <v>2.4E-2</v>
      </c>
      <c r="I227" s="243">
        <v>20</v>
      </c>
      <c r="J227" s="245">
        <v>3.2000000000000002E-3</v>
      </c>
      <c r="K227" s="243">
        <v>10</v>
      </c>
      <c r="L227" s="245"/>
      <c r="M227" s="238">
        <v>3.31</v>
      </c>
      <c r="N227" s="242">
        <f>10^M227</f>
        <v>2041.7379446695318</v>
      </c>
      <c r="O227" s="238">
        <v>2.63</v>
      </c>
      <c r="P227" s="242">
        <f>10^O227</f>
        <v>426.57951880159294</v>
      </c>
      <c r="Q227" s="238" t="s">
        <v>550</v>
      </c>
      <c r="R227" s="238" t="s">
        <v>550</v>
      </c>
      <c r="S227" s="246"/>
      <c r="T227" s="245">
        <v>0.05</v>
      </c>
      <c r="U227" s="245"/>
      <c r="V227" s="238"/>
      <c r="W227" s="238"/>
      <c r="X227" s="240"/>
      <c r="Y227" s="242"/>
      <c r="Z227" s="242"/>
      <c r="AA227" s="245"/>
      <c r="AB227" s="242"/>
      <c r="AC227" s="245"/>
      <c r="AD227" s="242"/>
      <c r="AE227" s="242"/>
      <c r="AF227" s="245"/>
      <c r="AG227" s="240"/>
      <c r="AH227" s="248"/>
      <c r="AI227" s="248"/>
    </row>
    <row r="228" spans="1:35" ht="102">
      <c r="A228" s="237"/>
      <c r="B228" s="249"/>
      <c r="C228" s="239"/>
      <c r="D228" s="240"/>
      <c r="E228" s="250" t="s">
        <v>1023</v>
      </c>
      <c r="F228" s="251" t="s">
        <v>1266</v>
      </c>
      <c r="G228" s="251"/>
      <c r="H228" s="251" t="s">
        <v>1260</v>
      </c>
      <c r="I228" s="251"/>
      <c r="J228" s="244" t="s">
        <v>686</v>
      </c>
      <c r="K228" s="270"/>
      <c r="L228" s="251" t="s">
        <v>1220</v>
      </c>
      <c r="M228" s="251" t="s">
        <v>1262</v>
      </c>
      <c r="N228" s="242"/>
      <c r="O228" s="251" t="s">
        <v>1267</v>
      </c>
      <c r="P228" s="242"/>
      <c r="Q228" s="265" t="s">
        <v>1268</v>
      </c>
      <c r="R228" s="265" t="s">
        <v>1268</v>
      </c>
      <c r="S228" s="268"/>
      <c r="T228" s="249" t="s">
        <v>1269</v>
      </c>
      <c r="U228" s="249"/>
      <c r="V228" s="249"/>
      <c r="W228" s="249"/>
      <c r="X228" s="253"/>
      <c r="Y228" s="254"/>
      <c r="Z228" s="255" t="s">
        <v>550</v>
      </c>
      <c r="AA228" s="256"/>
      <c r="AB228" s="257" t="s">
        <v>550</v>
      </c>
      <c r="AC228" s="256"/>
      <c r="AD228" s="255" t="s">
        <v>550</v>
      </c>
      <c r="AE228" s="257" t="s">
        <v>550</v>
      </c>
      <c r="AF228" s="256"/>
      <c r="AG228" s="253"/>
      <c r="AH228" s="258" t="s">
        <v>550</v>
      </c>
      <c r="AI228" s="258" t="s">
        <v>550</v>
      </c>
    </row>
    <row r="229" spans="1:35">
      <c r="A229" s="237">
        <v>159</v>
      </c>
      <c r="B229" s="238" t="s">
        <v>172</v>
      </c>
      <c r="C229" s="272" t="s">
        <v>1270</v>
      </c>
      <c r="D229" s="259"/>
      <c r="E229" s="241">
        <v>212.67500000000001</v>
      </c>
      <c r="F229" s="235">
        <v>70</v>
      </c>
      <c r="G229" s="261">
        <v>20</v>
      </c>
      <c r="H229" s="245">
        <v>1.7E-5</v>
      </c>
      <c r="I229" s="243">
        <v>20</v>
      </c>
      <c r="J229" s="245">
        <v>5.1700000000000003E-5</v>
      </c>
      <c r="K229" s="243">
        <v>10</v>
      </c>
      <c r="L229" s="245"/>
      <c r="M229" s="242">
        <v>2.34</v>
      </c>
      <c r="N229" s="242">
        <f>10^M229</f>
        <v>218.77616239495524</v>
      </c>
      <c r="O229" s="242">
        <v>2.3199999999999998</v>
      </c>
      <c r="P229" s="242">
        <f>10^O229</f>
        <v>208.92961308540396</v>
      </c>
      <c r="Q229" s="238" t="s">
        <v>550</v>
      </c>
      <c r="R229" s="238" t="s">
        <v>550</v>
      </c>
      <c r="S229" s="271"/>
      <c r="T229" s="245">
        <v>1.1299999999999999E-2</v>
      </c>
      <c r="U229" s="245"/>
      <c r="V229" s="245"/>
      <c r="W229" s="245"/>
      <c r="X229" s="247"/>
      <c r="Y229" s="242"/>
      <c r="Z229" s="242"/>
      <c r="AA229" s="245"/>
      <c r="AB229" s="242"/>
      <c r="AC229" s="245"/>
      <c r="AD229" s="242"/>
      <c r="AE229" s="242"/>
      <c r="AF229" s="245"/>
      <c r="AG229" s="240"/>
      <c r="AH229" s="248"/>
      <c r="AI229" s="248"/>
    </row>
    <row r="230" spans="1:35" ht="102">
      <c r="A230" s="237"/>
      <c r="B230" s="249"/>
      <c r="C230" s="272"/>
      <c r="D230" s="259"/>
      <c r="E230" s="306" t="s">
        <v>1271</v>
      </c>
      <c r="F230" s="251" t="s">
        <v>1272</v>
      </c>
      <c r="G230" s="251"/>
      <c r="H230" s="251" t="s">
        <v>1273</v>
      </c>
      <c r="I230" s="251"/>
      <c r="J230" s="244" t="s">
        <v>686</v>
      </c>
      <c r="K230" s="251"/>
      <c r="L230" s="251" t="s">
        <v>1220</v>
      </c>
      <c r="M230" s="251" t="s">
        <v>1274</v>
      </c>
      <c r="N230" s="242"/>
      <c r="O230" s="251" t="s">
        <v>1222</v>
      </c>
      <c r="P230" s="242"/>
      <c r="Q230" s="265" t="s">
        <v>1268</v>
      </c>
      <c r="R230" s="265" t="s">
        <v>1268</v>
      </c>
      <c r="S230" s="273"/>
      <c r="T230" s="249" t="s">
        <v>1275</v>
      </c>
      <c r="U230" s="254"/>
      <c r="V230" s="256"/>
      <c r="W230" s="256"/>
      <c r="X230" s="274"/>
      <c r="Y230" s="254"/>
      <c r="Z230" s="255" t="s">
        <v>550</v>
      </c>
      <c r="AA230" s="256"/>
      <c r="AB230" s="257" t="s">
        <v>550</v>
      </c>
      <c r="AC230" s="256"/>
      <c r="AD230" s="255" t="s">
        <v>550</v>
      </c>
      <c r="AE230" s="257" t="s">
        <v>550</v>
      </c>
      <c r="AF230" s="256"/>
      <c r="AG230" s="253"/>
      <c r="AH230" s="258" t="s">
        <v>550</v>
      </c>
      <c r="AI230" s="258" t="s">
        <v>550</v>
      </c>
    </row>
    <row r="231" spans="1:35">
      <c r="A231" s="237">
        <v>160</v>
      </c>
      <c r="B231" s="245" t="s">
        <v>154</v>
      </c>
      <c r="C231" s="239" t="s">
        <v>1276</v>
      </c>
      <c r="D231" s="240"/>
      <c r="E231" s="307">
        <v>240.69200000000001</v>
      </c>
      <c r="F231" s="260">
        <v>170</v>
      </c>
      <c r="G231" s="261">
        <v>20</v>
      </c>
      <c r="H231" s="276">
        <v>2.1299999999999999E-7</v>
      </c>
      <c r="I231" s="261">
        <v>20</v>
      </c>
      <c r="J231" s="276">
        <v>2.9999999999999999E-7</v>
      </c>
      <c r="K231" s="261">
        <v>10</v>
      </c>
      <c r="L231" s="245"/>
      <c r="M231" s="242">
        <v>1.99</v>
      </c>
      <c r="N231" s="242">
        <f>10^M231</f>
        <v>97.723722095581124</v>
      </c>
      <c r="O231" s="242">
        <v>2.23</v>
      </c>
      <c r="P231" s="242">
        <f>10^O231</f>
        <v>169.82436524617444</v>
      </c>
      <c r="Q231" s="245">
        <v>0.63</v>
      </c>
      <c r="R231" s="245">
        <v>1</v>
      </c>
      <c r="S231" s="277"/>
      <c r="T231" s="245">
        <v>1.9799999999999999E-4</v>
      </c>
      <c r="U231" s="238"/>
      <c r="V231" s="245"/>
      <c r="W231" s="245"/>
      <c r="X231" s="247"/>
      <c r="Y231" s="242"/>
      <c r="Z231" s="242"/>
      <c r="AA231" s="245"/>
      <c r="AB231" s="242"/>
      <c r="AC231" s="245"/>
      <c r="AD231" s="242"/>
      <c r="AE231" s="242"/>
      <c r="AF231" s="245"/>
      <c r="AG231" s="240"/>
      <c r="AH231" s="248"/>
      <c r="AI231" s="248"/>
    </row>
    <row r="232" spans="1:35" ht="114.75">
      <c r="A232" s="237"/>
      <c r="B232" s="249"/>
      <c r="C232" s="239"/>
      <c r="D232" s="240"/>
      <c r="E232" s="250" t="s">
        <v>1023</v>
      </c>
      <c r="F232" s="251" t="s">
        <v>1277</v>
      </c>
      <c r="G232" s="251"/>
      <c r="H232" s="251" t="s">
        <v>1278</v>
      </c>
      <c r="I232" s="251"/>
      <c r="J232" s="244" t="s">
        <v>686</v>
      </c>
      <c r="K232" s="264"/>
      <c r="L232" s="251" t="s">
        <v>1220</v>
      </c>
      <c r="M232" s="251" t="s">
        <v>1279</v>
      </c>
      <c r="N232" s="242"/>
      <c r="O232" s="251" t="s">
        <v>1280</v>
      </c>
      <c r="P232" s="242"/>
      <c r="Q232" s="265" t="s">
        <v>1281</v>
      </c>
      <c r="R232" s="265" t="s">
        <v>1245</v>
      </c>
      <c r="S232" s="278"/>
      <c r="T232" s="249" t="s">
        <v>1282</v>
      </c>
      <c r="U232" s="249"/>
      <c r="V232" s="249"/>
      <c r="W232" s="249"/>
      <c r="X232" s="253"/>
      <c r="Y232" s="254"/>
      <c r="Z232" s="255" t="s">
        <v>550</v>
      </c>
      <c r="AA232" s="256"/>
      <c r="AB232" s="257" t="s">
        <v>550</v>
      </c>
      <c r="AC232" s="256"/>
      <c r="AD232" s="255"/>
      <c r="AE232" s="257"/>
      <c r="AF232" s="256"/>
      <c r="AG232" s="253"/>
      <c r="AH232" s="258" t="s">
        <v>550</v>
      </c>
      <c r="AI232" s="258" t="s">
        <v>550</v>
      </c>
    </row>
    <row r="233" spans="1:35">
      <c r="A233" s="310">
        <v>161</v>
      </c>
      <c r="B233" s="310" t="s">
        <v>417</v>
      </c>
      <c r="C233" s="310"/>
      <c r="E233" s="310"/>
      <c r="F233" s="310"/>
      <c r="G233" s="310"/>
      <c r="H233" s="310"/>
      <c r="I233" s="310"/>
      <c r="J233" s="263">
        <v>1.5200000000000001E-4</v>
      </c>
      <c r="K233" s="310">
        <v>20</v>
      </c>
      <c r="L233" s="310"/>
      <c r="M233" s="310"/>
      <c r="N233" s="310"/>
      <c r="O233" s="310">
        <v>1.1200000000000001</v>
      </c>
      <c r="P233" s="242">
        <f>10^O233</f>
        <v>13.182567385564075</v>
      </c>
      <c r="Q233" s="310"/>
      <c r="R233" s="310"/>
      <c r="T233" s="310"/>
      <c r="U233" s="310"/>
      <c r="V233" s="310"/>
      <c r="W233" s="310"/>
      <c r="Y233" s="312"/>
      <c r="Z233" s="312"/>
      <c r="AA233" s="312"/>
      <c r="AB233" s="312"/>
      <c r="AC233" s="312"/>
      <c r="AD233" s="312"/>
      <c r="AE233" s="312"/>
      <c r="AF233" s="312"/>
      <c r="AH233" s="310"/>
      <c r="AI233" s="310"/>
    </row>
    <row r="234" spans="1:35" ht="38.25">
      <c r="A234" s="310"/>
      <c r="B234" s="310"/>
      <c r="C234" s="310"/>
      <c r="E234" s="310"/>
      <c r="F234" s="310"/>
      <c r="G234" s="310"/>
      <c r="H234" s="310"/>
      <c r="I234" s="310"/>
      <c r="J234" s="263" t="s">
        <v>854</v>
      </c>
      <c r="K234" s="310"/>
      <c r="L234" s="310"/>
      <c r="M234" s="310"/>
      <c r="N234" s="310"/>
      <c r="O234" s="237" t="s">
        <v>1520</v>
      </c>
      <c r="P234" s="310"/>
      <c r="Q234" s="310"/>
      <c r="R234" s="310"/>
      <c r="T234" s="310"/>
      <c r="U234" s="310"/>
      <c r="V234" s="310"/>
      <c r="W234" s="310"/>
      <c r="Y234" s="312"/>
      <c r="Z234" s="312"/>
      <c r="AA234" s="312"/>
      <c r="AB234" s="312"/>
      <c r="AC234" s="312"/>
      <c r="AD234" s="312"/>
      <c r="AE234" s="312"/>
      <c r="AF234" s="312"/>
      <c r="AH234" s="310"/>
      <c r="AI234" s="310"/>
    </row>
    <row r="235" spans="1:35">
      <c r="A235" s="237">
        <v>164</v>
      </c>
      <c r="B235" s="238" t="s">
        <v>179</v>
      </c>
      <c r="C235" s="239" t="s">
        <v>1283</v>
      </c>
      <c r="D235" s="240"/>
      <c r="E235" s="307">
        <v>221.03800000000001</v>
      </c>
      <c r="F235" s="242">
        <v>5600</v>
      </c>
      <c r="G235" s="243">
        <v>20</v>
      </c>
      <c r="H235" s="245">
        <v>0.5</v>
      </c>
      <c r="I235" s="243">
        <v>20</v>
      </c>
      <c r="J235" s="245">
        <v>1.2E-4</v>
      </c>
      <c r="K235" s="243">
        <v>10</v>
      </c>
      <c r="L235" s="245"/>
      <c r="M235" s="242">
        <v>2.21</v>
      </c>
      <c r="N235" s="242">
        <f>10^M235</f>
        <v>162.18100973589304</v>
      </c>
      <c r="O235" s="242">
        <v>0.34</v>
      </c>
      <c r="P235" s="242">
        <f>10^O235</f>
        <v>2.1877616239495525</v>
      </c>
      <c r="Q235" s="238">
        <v>1.9</v>
      </c>
      <c r="R235" s="238">
        <v>1</v>
      </c>
      <c r="S235" s="277"/>
      <c r="T235" s="245">
        <v>0.03</v>
      </c>
      <c r="U235" s="245"/>
      <c r="V235" s="245"/>
      <c r="W235" s="245"/>
      <c r="X235" s="247"/>
      <c r="Y235" s="242"/>
      <c r="Z235" s="242"/>
      <c r="AA235" s="245"/>
      <c r="AB235" s="242"/>
      <c r="AC235" s="245"/>
      <c r="AD235" s="242"/>
      <c r="AE235" s="242"/>
      <c r="AF235" s="245"/>
      <c r="AG235" s="240"/>
      <c r="AH235" s="248"/>
      <c r="AI235" s="248"/>
    </row>
    <row r="236" spans="1:35" ht="140.25">
      <c r="A236" s="237"/>
      <c r="B236" s="249"/>
      <c r="C236" s="239"/>
      <c r="D236" s="240"/>
      <c r="E236" s="279" t="s">
        <v>1284</v>
      </c>
      <c r="F236" s="256" t="s">
        <v>1285</v>
      </c>
      <c r="G236" s="264"/>
      <c r="H236" s="256" t="s">
        <v>1285</v>
      </c>
      <c r="I236" s="264"/>
      <c r="J236" s="244" t="s">
        <v>686</v>
      </c>
      <c r="K236" s="270"/>
      <c r="L236" s="251" t="s">
        <v>1220</v>
      </c>
      <c r="M236" s="251" t="s">
        <v>1286</v>
      </c>
      <c r="N236" s="242"/>
      <c r="O236" s="251" t="s">
        <v>1287</v>
      </c>
      <c r="P236" s="242"/>
      <c r="Q236" s="249" t="s">
        <v>1288</v>
      </c>
      <c r="R236" s="249" t="s">
        <v>1224</v>
      </c>
      <c r="S236" s="278"/>
      <c r="T236" s="249" t="s">
        <v>1289</v>
      </c>
      <c r="U236" s="249"/>
      <c r="V236" s="249"/>
      <c r="W236" s="249"/>
      <c r="X236" s="253"/>
      <c r="Y236" s="254"/>
      <c r="Z236" s="255"/>
      <c r="AA236" s="256"/>
      <c r="AB236" s="257"/>
      <c r="AC236" s="256"/>
      <c r="AD236" s="255"/>
      <c r="AE236" s="257"/>
      <c r="AF236" s="256"/>
      <c r="AG236" s="253"/>
      <c r="AH236" s="258"/>
      <c r="AI236" s="258"/>
    </row>
    <row r="237" spans="1:35">
      <c r="A237" s="237">
        <v>165</v>
      </c>
      <c r="B237" s="238" t="s">
        <v>155</v>
      </c>
      <c r="C237" s="239" t="s">
        <v>1291</v>
      </c>
      <c r="D237" s="240"/>
      <c r="E237" s="307">
        <v>190.02699999999999</v>
      </c>
      <c r="F237" s="242">
        <v>2730</v>
      </c>
      <c r="G237" s="243" t="s">
        <v>550</v>
      </c>
      <c r="H237" s="242"/>
      <c r="I237" s="243"/>
      <c r="J237" s="245" t="s">
        <v>550</v>
      </c>
      <c r="K237" s="243" t="s">
        <v>550</v>
      </c>
      <c r="L237" s="245"/>
      <c r="M237" s="242">
        <v>0.77</v>
      </c>
      <c r="N237" s="242">
        <f>10^M237</f>
        <v>5.8884365535558905</v>
      </c>
      <c r="O237" s="242"/>
      <c r="P237" s="242"/>
      <c r="Q237" s="238" t="s">
        <v>550</v>
      </c>
      <c r="R237" s="238" t="s">
        <v>550</v>
      </c>
      <c r="S237" s="277"/>
      <c r="T237" s="245"/>
      <c r="U237" s="245"/>
      <c r="V237" s="245"/>
      <c r="W237" s="245"/>
      <c r="X237" s="247"/>
      <c r="Y237" s="242"/>
      <c r="Z237" s="242"/>
      <c r="AA237" s="245"/>
      <c r="AB237" s="242"/>
      <c r="AC237" s="245"/>
      <c r="AD237" s="242"/>
      <c r="AE237" s="242"/>
      <c r="AF237" s="245"/>
      <c r="AG237" s="240"/>
      <c r="AH237" s="248"/>
      <c r="AI237" s="248"/>
    </row>
    <row r="238" spans="1:35" ht="63.75">
      <c r="A238" s="237"/>
      <c r="B238" s="249"/>
      <c r="C238" s="239"/>
      <c r="D238" s="240"/>
      <c r="E238" s="250" t="s">
        <v>746</v>
      </c>
      <c r="F238" s="256" t="s">
        <v>1292</v>
      </c>
      <c r="G238" s="264"/>
      <c r="H238" s="256" t="s">
        <v>1293</v>
      </c>
      <c r="I238" s="264"/>
      <c r="J238" s="244"/>
      <c r="K238" s="270"/>
      <c r="L238" s="251" t="s">
        <v>1220</v>
      </c>
      <c r="M238" s="256" t="s">
        <v>1292</v>
      </c>
      <c r="N238" s="242"/>
      <c r="O238" s="249"/>
      <c r="P238" s="242"/>
      <c r="Q238" s="249" t="s">
        <v>693</v>
      </c>
      <c r="R238" s="249" t="s">
        <v>693</v>
      </c>
      <c r="S238" s="278"/>
      <c r="T238" s="249"/>
      <c r="U238" s="249"/>
      <c r="V238" s="249"/>
      <c r="W238" s="249"/>
      <c r="X238" s="253"/>
      <c r="Y238" s="254"/>
      <c r="Z238" s="255"/>
      <c r="AA238" s="256"/>
      <c r="AB238" s="257"/>
      <c r="AC238" s="256"/>
      <c r="AD238" s="255"/>
      <c r="AE238" s="257"/>
      <c r="AF238" s="256"/>
      <c r="AG238" s="253"/>
      <c r="AH238" s="258"/>
      <c r="AI238" s="258"/>
    </row>
    <row r="239" spans="1:35">
      <c r="A239" s="237">
        <v>166</v>
      </c>
      <c r="B239" s="238" t="s">
        <v>156</v>
      </c>
      <c r="C239" s="239" t="s">
        <v>1294</v>
      </c>
      <c r="D239" s="240"/>
      <c r="E239" s="307">
        <v>233.09299999999999</v>
      </c>
      <c r="F239" s="242">
        <v>40</v>
      </c>
      <c r="G239" s="243">
        <v>20</v>
      </c>
      <c r="H239" s="245">
        <v>2.0000000000000001E-4</v>
      </c>
      <c r="I239" s="243">
        <v>20</v>
      </c>
      <c r="J239" s="245">
        <v>1.2E-4</v>
      </c>
      <c r="K239" s="243">
        <v>10</v>
      </c>
      <c r="L239" s="245"/>
      <c r="M239" s="242">
        <v>2.7</v>
      </c>
      <c r="N239" s="242">
        <f>10^M239</f>
        <v>501.18723362727269</v>
      </c>
      <c r="O239" s="242">
        <v>2.57</v>
      </c>
      <c r="P239" s="242">
        <f>10^O239</f>
        <v>371.53522909717265</v>
      </c>
      <c r="Q239" s="238" t="s">
        <v>550</v>
      </c>
      <c r="R239" s="238" t="s">
        <v>550</v>
      </c>
      <c r="S239" s="280"/>
      <c r="T239" s="245">
        <v>2E-3</v>
      </c>
      <c r="U239" s="245"/>
      <c r="V239" s="245"/>
      <c r="W239" s="245"/>
      <c r="X239" s="247"/>
      <c r="Y239" s="242"/>
      <c r="Z239" s="242"/>
      <c r="AA239" s="245"/>
      <c r="AB239" s="242"/>
      <c r="AC239" s="245"/>
      <c r="AD239" s="242"/>
      <c r="AE239" s="242"/>
      <c r="AF239" s="245"/>
      <c r="AG239" s="240"/>
      <c r="AH239" s="248"/>
      <c r="AI239" s="248"/>
    </row>
    <row r="240" spans="1:35" ht="102">
      <c r="A240" s="237"/>
      <c r="B240" s="249"/>
      <c r="C240" s="239"/>
      <c r="D240" s="240"/>
      <c r="E240" s="250" t="s">
        <v>746</v>
      </c>
      <c r="F240" s="249" t="s">
        <v>1295</v>
      </c>
      <c r="G240" s="251"/>
      <c r="H240" s="249" t="s">
        <v>1295</v>
      </c>
      <c r="I240" s="251"/>
      <c r="J240" s="244" t="s">
        <v>686</v>
      </c>
      <c r="K240" s="270"/>
      <c r="L240" s="251" t="s">
        <v>1220</v>
      </c>
      <c r="M240" s="251" t="s">
        <v>1296</v>
      </c>
      <c r="N240" s="242"/>
      <c r="O240" s="251" t="s">
        <v>1297</v>
      </c>
      <c r="P240" s="242"/>
      <c r="Q240" s="265" t="s">
        <v>1268</v>
      </c>
      <c r="R240" s="265" t="s">
        <v>1268</v>
      </c>
      <c r="S240" s="281"/>
      <c r="T240" s="249" t="s">
        <v>1298</v>
      </c>
      <c r="U240" s="249"/>
      <c r="V240" s="249"/>
      <c r="W240" s="249"/>
      <c r="X240" s="253"/>
      <c r="Y240" s="254"/>
      <c r="Z240" s="255"/>
      <c r="AA240" s="256"/>
      <c r="AB240" s="257"/>
      <c r="AC240" s="256"/>
      <c r="AD240" s="255"/>
      <c r="AE240" s="257"/>
      <c r="AF240" s="256"/>
      <c r="AG240" s="253"/>
      <c r="AH240" s="258"/>
      <c r="AI240" s="258"/>
    </row>
    <row r="241" spans="1:35">
      <c r="A241" s="237">
        <v>167</v>
      </c>
      <c r="B241" s="238" t="s">
        <v>157</v>
      </c>
      <c r="C241" s="239" t="s">
        <v>1299</v>
      </c>
      <c r="D241" s="240"/>
      <c r="E241" s="307">
        <v>286.33999999999997</v>
      </c>
      <c r="F241" s="242">
        <v>110</v>
      </c>
      <c r="G241" s="243">
        <v>25</v>
      </c>
      <c r="H241" s="245">
        <v>6.5320000000000005E-4</v>
      </c>
      <c r="I241" s="243" t="s">
        <v>550</v>
      </c>
      <c r="J241" s="245">
        <v>3.7490000000000002E-3</v>
      </c>
      <c r="K241" s="243">
        <v>10</v>
      </c>
      <c r="L241" s="245"/>
      <c r="M241" s="242">
        <v>2.7</v>
      </c>
      <c r="N241" s="242">
        <f>10^M241</f>
        <v>501.18723362727269</v>
      </c>
      <c r="O241" s="242">
        <v>2.31</v>
      </c>
      <c r="P241" s="242">
        <f>10^O241</f>
        <v>204.17379446695315</v>
      </c>
      <c r="Q241" s="238" t="s">
        <v>550</v>
      </c>
      <c r="R241" s="238" t="s">
        <v>550</v>
      </c>
      <c r="S241" s="280"/>
      <c r="T241" s="245">
        <v>7.0000000000000007E-2</v>
      </c>
      <c r="U241" s="238"/>
      <c r="V241" s="245"/>
      <c r="W241" s="245"/>
      <c r="X241" s="247"/>
      <c r="Y241" s="242"/>
      <c r="Z241" s="242"/>
      <c r="AA241" s="245"/>
      <c r="AB241" s="242"/>
      <c r="AC241" s="245"/>
      <c r="AD241" s="242"/>
      <c r="AE241" s="242"/>
      <c r="AF241" s="245"/>
      <c r="AG241" s="240"/>
      <c r="AH241" s="248"/>
      <c r="AI241" s="248"/>
    </row>
    <row r="242" spans="1:35" ht="63.75">
      <c r="A242" s="237"/>
      <c r="B242" s="249"/>
      <c r="C242" s="239"/>
      <c r="D242" s="240"/>
      <c r="E242" s="250" t="s">
        <v>746</v>
      </c>
      <c r="F242" s="249" t="s">
        <v>1300</v>
      </c>
      <c r="G242" s="251"/>
      <c r="H242" s="251" t="s">
        <v>1292</v>
      </c>
      <c r="I242" s="251"/>
      <c r="J242" s="244" t="s">
        <v>1261</v>
      </c>
      <c r="K242" s="251"/>
      <c r="L242" s="251" t="s">
        <v>1220</v>
      </c>
      <c r="M242" s="251" t="s">
        <v>1301</v>
      </c>
      <c r="N242" s="242"/>
      <c r="O242" s="251" t="s">
        <v>1256</v>
      </c>
      <c r="P242" s="242"/>
      <c r="Q242" s="265" t="s">
        <v>1268</v>
      </c>
      <c r="R242" s="265" t="s">
        <v>1268</v>
      </c>
      <c r="S242" s="278"/>
      <c r="T242" s="249" t="s">
        <v>1250</v>
      </c>
      <c r="U242" s="249"/>
      <c r="V242" s="249"/>
      <c r="W242" s="249"/>
      <c r="X242" s="253"/>
      <c r="Y242" s="254"/>
      <c r="Z242" s="255"/>
      <c r="AA242" s="256"/>
      <c r="AB242" s="257"/>
      <c r="AC242" s="256"/>
      <c r="AD242" s="255"/>
      <c r="AE242" s="257"/>
      <c r="AF242" s="256"/>
      <c r="AG242" s="253"/>
      <c r="AH242" s="258"/>
      <c r="AI242" s="258"/>
    </row>
    <row r="243" spans="1:35">
      <c r="A243" s="310">
        <v>168</v>
      </c>
      <c r="B243" s="310" t="s">
        <v>180</v>
      </c>
      <c r="C243" s="310" t="s">
        <v>1519</v>
      </c>
      <c r="E243" s="310"/>
      <c r="F243" s="310"/>
      <c r="G243" s="310"/>
      <c r="H243" s="310"/>
      <c r="I243" s="310"/>
      <c r="J243" s="263">
        <v>1.7400000000000001E-6</v>
      </c>
      <c r="K243" s="310">
        <v>20</v>
      </c>
      <c r="L243" s="310"/>
      <c r="M243" s="310"/>
      <c r="N243" s="310"/>
      <c r="O243" s="310">
        <v>1.81</v>
      </c>
      <c r="P243" s="242">
        <f>10^O243</f>
        <v>64.565422903465588</v>
      </c>
      <c r="Q243" s="310"/>
      <c r="R243" s="310"/>
      <c r="T243" s="310"/>
      <c r="U243" s="310"/>
      <c r="V243" s="310"/>
      <c r="W243" s="310"/>
      <c r="Y243" s="312"/>
      <c r="Z243" s="312"/>
      <c r="AA243" s="312"/>
      <c r="AB243" s="312"/>
      <c r="AC243" s="312"/>
      <c r="AD243" s="312"/>
      <c r="AE243" s="312"/>
      <c r="AF243" s="312"/>
      <c r="AH243" s="310"/>
      <c r="AI243" s="310"/>
    </row>
    <row r="244" spans="1:35" ht="38.25">
      <c r="A244" s="310"/>
      <c r="B244" s="310"/>
      <c r="C244" s="310"/>
      <c r="E244" s="310"/>
      <c r="F244" s="310"/>
      <c r="G244" s="310"/>
      <c r="H244" s="310"/>
      <c r="I244" s="310"/>
      <c r="J244" s="263" t="s">
        <v>854</v>
      </c>
      <c r="K244" s="310"/>
      <c r="L244" s="310"/>
      <c r="M244" s="310"/>
      <c r="N244" s="310"/>
      <c r="O244" s="237" t="s">
        <v>1521</v>
      </c>
      <c r="P244" s="310"/>
      <c r="Q244" s="310"/>
      <c r="R244" s="310"/>
      <c r="T244" s="310"/>
      <c r="U244" s="310"/>
      <c r="V244" s="310"/>
      <c r="W244" s="310"/>
      <c r="Y244" s="312"/>
      <c r="Z244" s="312"/>
      <c r="AA244" s="312"/>
      <c r="AB244" s="312"/>
      <c r="AC244" s="312"/>
      <c r="AD244" s="312"/>
      <c r="AE244" s="312"/>
      <c r="AF244" s="312"/>
      <c r="AH244" s="310"/>
      <c r="AI244" s="310"/>
    </row>
    <row r="245" spans="1:35">
      <c r="A245" s="237">
        <v>169</v>
      </c>
      <c r="B245" s="238" t="s">
        <v>158</v>
      </c>
      <c r="C245" s="239" t="s">
        <v>1302</v>
      </c>
      <c r="D245" s="240"/>
      <c r="E245" s="307">
        <v>252.31299999999999</v>
      </c>
      <c r="F245" s="245">
        <v>33000</v>
      </c>
      <c r="G245" s="243">
        <v>25</v>
      </c>
      <c r="H245" s="245">
        <v>3.0000000000000001E-5</v>
      </c>
      <c r="I245" s="243">
        <v>25</v>
      </c>
      <c r="J245" s="245">
        <v>2.29E-7</v>
      </c>
      <c r="K245" s="243">
        <v>10</v>
      </c>
      <c r="L245" s="245"/>
      <c r="M245" s="242">
        <v>1.2</v>
      </c>
      <c r="N245" s="242">
        <f>10^M245</f>
        <v>15.848931924611136</v>
      </c>
      <c r="O245" s="238">
        <v>0.81</v>
      </c>
      <c r="P245" s="242">
        <f>10^O245</f>
        <v>6.4565422903465572</v>
      </c>
      <c r="Q245" s="238">
        <v>2.2000000000000002</v>
      </c>
      <c r="R245" s="238">
        <v>2</v>
      </c>
      <c r="S245" s="277"/>
      <c r="T245" s="245">
        <v>3.3000000000000002E-2</v>
      </c>
      <c r="U245" s="238"/>
      <c r="V245" s="245"/>
      <c r="W245" s="245"/>
      <c r="X245" s="247"/>
      <c r="Y245" s="242"/>
      <c r="Z245" s="242"/>
      <c r="AA245" s="245"/>
      <c r="AB245" s="242"/>
      <c r="AC245" s="245"/>
      <c r="AD245" s="242"/>
      <c r="AE245" s="242"/>
      <c r="AF245" s="245"/>
      <c r="AG245" s="240"/>
      <c r="AH245" s="248"/>
      <c r="AI245" s="248"/>
    </row>
    <row r="246" spans="1:35" ht="89.25">
      <c r="A246" s="237"/>
      <c r="B246" s="249"/>
      <c r="C246" s="239"/>
      <c r="D246" s="240"/>
      <c r="E246" s="250" t="s">
        <v>1023</v>
      </c>
      <c r="F246" s="249" t="s">
        <v>1303</v>
      </c>
      <c r="G246" s="251"/>
      <c r="H246" s="249" t="s">
        <v>1304</v>
      </c>
      <c r="I246" s="251"/>
      <c r="J246" s="244" t="s">
        <v>1261</v>
      </c>
      <c r="K246" s="251"/>
      <c r="L246" s="251" t="s">
        <v>1220</v>
      </c>
      <c r="M246" s="249" t="s">
        <v>1305</v>
      </c>
      <c r="N246" s="242"/>
      <c r="O246" s="251" t="s">
        <v>1256</v>
      </c>
      <c r="P246" s="242"/>
      <c r="Q246" s="249" t="s">
        <v>1305</v>
      </c>
      <c r="R246" s="249" t="s">
        <v>1249</v>
      </c>
      <c r="S246" s="278"/>
      <c r="T246" s="249" t="s">
        <v>1306</v>
      </c>
      <c r="U246" s="249"/>
      <c r="V246" s="249"/>
      <c r="W246" s="249"/>
      <c r="X246" s="253"/>
      <c r="Y246" s="254"/>
      <c r="Z246" s="255"/>
      <c r="AA246" s="256"/>
      <c r="AB246" s="257"/>
      <c r="AC246" s="256"/>
      <c r="AD246" s="255"/>
      <c r="AE246" s="257"/>
      <c r="AF246" s="256"/>
      <c r="AG246" s="253"/>
      <c r="AH246" s="258"/>
      <c r="AI246" s="258"/>
    </row>
    <row r="247" spans="1:35">
      <c r="A247" s="237">
        <v>170</v>
      </c>
      <c r="B247" s="238" t="s">
        <v>159</v>
      </c>
      <c r="C247" s="239" t="s">
        <v>1307</v>
      </c>
      <c r="D247" s="240"/>
      <c r="E247" s="241">
        <v>206.28399999999999</v>
      </c>
      <c r="F247" s="245">
        <v>72</v>
      </c>
      <c r="G247" s="243">
        <v>20</v>
      </c>
      <c r="H247" s="245">
        <v>3.3000000000000002E-6</v>
      </c>
      <c r="I247" s="243">
        <v>20</v>
      </c>
      <c r="J247" s="245">
        <v>1.24E-5</v>
      </c>
      <c r="K247" s="243">
        <v>10</v>
      </c>
      <c r="L247" s="245"/>
      <c r="M247" s="242">
        <v>2.5299999999999998</v>
      </c>
      <c r="N247" s="242">
        <f>10^M247</f>
        <v>338.84415613920248</v>
      </c>
      <c r="O247" s="238">
        <v>2.09</v>
      </c>
      <c r="P247" s="242">
        <f>10^O247</f>
        <v>123.02687708123821</v>
      </c>
      <c r="Q247" s="238" t="s">
        <v>550</v>
      </c>
      <c r="R247" s="238" t="s">
        <v>550</v>
      </c>
      <c r="S247" s="277"/>
      <c r="T247" s="245">
        <v>3.0000000000000001E-3</v>
      </c>
      <c r="U247" s="238"/>
      <c r="V247" s="245"/>
      <c r="W247" s="245"/>
      <c r="X247" s="247"/>
      <c r="Y247" s="242"/>
      <c r="Z247" s="242"/>
      <c r="AA247" s="245"/>
      <c r="AB247" s="242"/>
      <c r="AC247" s="245"/>
      <c r="AD247" s="242"/>
      <c r="AE247" s="242"/>
      <c r="AF247" s="245"/>
      <c r="AG247" s="240"/>
      <c r="AH247" s="248"/>
      <c r="AI247" s="248"/>
    </row>
    <row r="248" spans="1:35" ht="102">
      <c r="A248" s="237"/>
      <c r="B248" s="249"/>
      <c r="C248" s="239"/>
      <c r="D248" s="240"/>
      <c r="E248" s="306" t="s">
        <v>1308</v>
      </c>
      <c r="F248" s="251" t="s">
        <v>1309</v>
      </c>
      <c r="G248" s="251"/>
      <c r="H248" s="251" t="s">
        <v>1310</v>
      </c>
      <c r="I248" s="251"/>
      <c r="J248" s="244" t="s">
        <v>686</v>
      </c>
      <c r="K248" s="251"/>
      <c r="L248" s="251" t="s">
        <v>1220</v>
      </c>
      <c r="M248" s="251" t="s">
        <v>1311</v>
      </c>
      <c r="N248" s="242"/>
      <c r="O248" s="251" t="s">
        <v>1312</v>
      </c>
      <c r="P248" s="242"/>
      <c r="Q248" s="265" t="s">
        <v>1268</v>
      </c>
      <c r="R248" s="265" t="s">
        <v>1268</v>
      </c>
      <c r="S248" s="278"/>
      <c r="T248" s="249" t="s">
        <v>1313</v>
      </c>
      <c r="U248" s="249"/>
      <c r="V248" s="249"/>
      <c r="W248" s="249"/>
      <c r="X248" s="253"/>
      <c r="Y248" s="254"/>
      <c r="Z248" s="255"/>
      <c r="AA248" s="256"/>
      <c r="AB248" s="257"/>
      <c r="AC248" s="256"/>
      <c r="AD248" s="255"/>
      <c r="AE248" s="257"/>
      <c r="AF248" s="256"/>
      <c r="AG248" s="253"/>
      <c r="AH248" s="258"/>
      <c r="AI248" s="258"/>
    </row>
    <row r="249" spans="1:35">
      <c r="A249" s="237">
        <v>171</v>
      </c>
      <c r="B249" s="238" t="s">
        <v>160</v>
      </c>
      <c r="C249" s="239" t="s">
        <v>1314</v>
      </c>
      <c r="D249" s="240"/>
      <c r="E249" s="241">
        <v>249.09299999999999</v>
      </c>
      <c r="F249" s="235">
        <v>75</v>
      </c>
      <c r="G249" s="261">
        <v>20</v>
      </c>
      <c r="H249" s="245">
        <v>1.47E-3</v>
      </c>
      <c r="I249" s="243">
        <v>20</v>
      </c>
      <c r="J249" s="245">
        <v>5.4000000000000003E-3</v>
      </c>
      <c r="K249" s="243">
        <v>10</v>
      </c>
      <c r="L249" s="245"/>
      <c r="M249" s="242">
        <v>2.82</v>
      </c>
      <c r="N249" s="242">
        <f>10^M249</f>
        <v>660.69344800759643</v>
      </c>
      <c r="O249" s="242">
        <v>2.65</v>
      </c>
      <c r="P249" s="242">
        <f>10^O249</f>
        <v>446.68359215096331</v>
      </c>
      <c r="Q249" s="238" t="s">
        <v>550</v>
      </c>
      <c r="R249" s="238" t="s">
        <v>550</v>
      </c>
      <c r="S249" s="277"/>
      <c r="T249" s="245">
        <v>2E-3</v>
      </c>
      <c r="U249" s="238"/>
      <c r="V249" s="245"/>
      <c r="W249" s="245"/>
      <c r="X249" s="247"/>
      <c r="Y249" s="242"/>
      <c r="Z249" s="242"/>
      <c r="AA249" s="245"/>
      <c r="AB249" s="242"/>
      <c r="AC249" s="245"/>
      <c r="AD249" s="242"/>
      <c r="AE249" s="242"/>
      <c r="AF249" s="245"/>
      <c r="AG249" s="240"/>
      <c r="AH249" s="248"/>
      <c r="AI249" s="248"/>
    </row>
    <row r="250" spans="1:35" ht="102">
      <c r="A250" s="237"/>
      <c r="B250" s="249"/>
      <c r="C250" s="239"/>
      <c r="D250" s="240"/>
      <c r="E250" s="250" t="s">
        <v>1023</v>
      </c>
      <c r="F250" s="249" t="s">
        <v>1315</v>
      </c>
      <c r="G250" s="251"/>
      <c r="H250" s="249" t="s">
        <v>1315</v>
      </c>
      <c r="I250" s="251"/>
      <c r="J250" s="244" t="s">
        <v>686</v>
      </c>
      <c r="K250" s="251"/>
      <c r="L250" s="251" t="s">
        <v>1220</v>
      </c>
      <c r="M250" s="249" t="s">
        <v>1316</v>
      </c>
      <c r="N250" s="242"/>
      <c r="O250" s="249" t="s">
        <v>1317</v>
      </c>
      <c r="P250" s="242"/>
      <c r="Q250" s="265" t="s">
        <v>1268</v>
      </c>
      <c r="R250" s="265" t="s">
        <v>1268</v>
      </c>
      <c r="S250" s="277"/>
      <c r="T250" s="249" t="s">
        <v>1306</v>
      </c>
      <c r="U250" s="249"/>
      <c r="V250" s="249"/>
      <c r="W250" s="249"/>
      <c r="X250" s="253"/>
      <c r="Y250" s="254"/>
      <c r="Z250" s="255"/>
      <c r="AA250" s="256"/>
      <c r="AB250" s="257"/>
      <c r="AC250" s="256"/>
      <c r="AD250" s="255"/>
      <c r="AE250" s="257"/>
      <c r="AF250" s="256"/>
      <c r="AG250" s="253"/>
      <c r="AH250" s="258"/>
      <c r="AI250" s="258"/>
    </row>
    <row r="251" spans="1:35">
      <c r="A251" s="237">
        <v>172</v>
      </c>
      <c r="B251" s="238" t="s">
        <v>161</v>
      </c>
      <c r="C251" s="239" t="s">
        <v>1318</v>
      </c>
      <c r="D251" s="240"/>
      <c r="E251" s="307">
        <v>202.21600000000001</v>
      </c>
      <c r="F251" s="235">
        <v>1800</v>
      </c>
      <c r="G251" s="261">
        <v>20</v>
      </c>
      <c r="H251" s="245">
        <v>8.6000000000000002E-7</v>
      </c>
      <c r="I251" s="243">
        <v>20</v>
      </c>
      <c r="J251" s="245">
        <v>9.6499999999999997E-8</v>
      </c>
      <c r="K251" s="243">
        <v>10</v>
      </c>
      <c r="L251" s="245"/>
      <c r="M251" s="242">
        <v>0.83</v>
      </c>
      <c r="N251" s="242">
        <f>10^M251</f>
        <v>6.7608297539198183</v>
      </c>
      <c r="O251" s="242">
        <v>0.44</v>
      </c>
      <c r="P251" s="242">
        <f>10^O251</f>
        <v>2.7542287033381663</v>
      </c>
      <c r="Q251" s="238" t="s">
        <v>550</v>
      </c>
      <c r="R251" s="238" t="s">
        <v>550</v>
      </c>
      <c r="S251" s="280"/>
      <c r="T251" s="245">
        <v>0.03</v>
      </c>
      <c r="U251" s="238"/>
      <c r="V251" s="245"/>
      <c r="W251" s="245"/>
      <c r="X251" s="247"/>
      <c r="Y251" s="242"/>
      <c r="Z251" s="242"/>
      <c r="AA251" s="245"/>
      <c r="AB251" s="242"/>
      <c r="AC251" s="245"/>
      <c r="AD251" s="242"/>
      <c r="AE251" s="242"/>
      <c r="AF251" s="245"/>
      <c r="AG251" s="240"/>
      <c r="AH251" s="248"/>
      <c r="AI251" s="248"/>
    </row>
    <row r="252" spans="1:35" ht="38.25">
      <c r="A252" s="237"/>
      <c r="B252" s="249"/>
      <c r="C252" s="239"/>
      <c r="D252" s="240"/>
      <c r="E252" s="250" t="s">
        <v>1219</v>
      </c>
      <c r="F252" s="249" t="s">
        <v>1319</v>
      </c>
      <c r="G252" s="251"/>
      <c r="H252" s="249" t="s">
        <v>1319</v>
      </c>
      <c r="I252" s="251"/>
      <c r="J252" s="249" t="s">
        <v>1219</v>
      </c>
      <c r="K252" s="251"/>
      <c r="L252" s="251" t="s">
        <v>1220</v>
      </c>
      <c r="M252" s="249" t="s">
        <v>1219</v>
      </c>
      <c r="N252" s="242"/>
      <c r="O252" s="251" t="s">
        <v>1256</v>
      </c>
      <c r="P252" s="242"/>
      <c r="Q252" s="265" t="s">
        <v>1268</v>
      </c>
      <c r="R252" s="265" t="s">
        <v>1268</v>
      </c>
      <c r="S252" s="281"/>
      <c r="T252" s="249" t="s">
        <v>1250</v>
      </c>
      <c r="U252" s="249"/>
      <c r="V252" s="249"/>
      <c r="W252" s="249"/>
      <c r="X252" s="253"/>
      <c r="Y252" s="254"/>
      <c r="Z252" s="255"/>
      <c r="AA252" s="256"/>
      <c r="AB252" s="257"/>
      <c r="AC252" s="256"/>
      <c r="AD252" s="255"/>
      <c r="AE252" s="257"/>
      <c r="AF252" s="256"/>
      <c r="AG252" s="253"/>
      <c r="AH252" s="258"/>
      <c r="AI252" s="258"/>
    </row>
    <row r="253" spans="1:35">
      <c r="A253" s="237">
        <v>173</v>
      </c>
      <c r="B253" s="238" t="s">
        <v>162</v>
      </c>
      <c r="C253" s="239" t="s">
        <v>1320</v>
      </c>
      <c r="D253" s="240"/>
      <c r="E253" s="307">
        <v>277.75299999999999</v>
      </c>
      <c r="F253" s="245">
        <v>430</v>
      </c>
      <c r="G253" s="243">
        <v>20</v>
      </c>
      <c r="H253" s="245">
        <v>9.5000000000000005E-5</v>
      </c>
      <c r="I253" s="243">
        <v>20</v>
      </c>
      <c r="J253" s="245">
        <v>5.7399999999999999E-5</v>
      </c>
      <c r="K253" s="243">
        <v>10</v>
      </c>
      <c r="L253" s="245"/>
      <c r="M253" s="242">
        <v>2.13</v>
      </c>
      <c r="N253" s="242">
        <f>10^M253</f>
        <v>134.89628825916537</v>
      </c>
      <c r="O253" s="242">
        <v>1.74</v>
      </c>
      <c r="P253" s="242">
        <f>10^O253</f>
        <v>54.95408738576247</v>
      </c>
      <c r="Q253" s="238" t="s">
        <v>550</v>
      </c>
      <c r="R253" s="238" t="s">
        <v>550</v>
      </c>
      <c r="S253" s="277"/>
      <c r="T253" s="245">
        <v>0.08</v>
      </c>
      <c r="U253" s="238"/>
      <c r="V253" s="245"/>
      <c r="W253" s="245"/>
      <c r="X253" s="247"/>
      <c r="Y253" s="242"/>
      <c r="Z253" s="242"/>
      <c r="AA253" s="245"/>
      <c r="AB253" s="242"/>
      <c r="AC253" s="245"/>
      <c r="AD253" s="242"/>
      <c r="AE253" s="242"/>
      <c r="AF253" s="245"/>
      <c r="AG253" s="240"/>
      <c r="AH253" s="248"/>
      <c r="AI253" s="248"/>
    </row>
    <row r="254" spans="1:35" ht="38.25">
      <c r="A254" s="237"/>
      <c r="B254" s="249"/>
      <c r="C254" s="239"/>
      <c r="D254" s="240"/>
      <c r="E254" s="250" t="s">
        <v>1219</v>
      </c>
      <c r="F254" s="249" t="s">
        <v>1319</v>
      </c>
      <c r="G254" s="251"/>
      <c r="H254" s="249" t="s">
        <v>1321</v>
      </c>
      <c r="I254" s="251"/>
      <c r="J254" s="249" t="s">
        <v>1219</v>
      </c>
      <c r="K254" s="251"/>
      <c r="L254" s="251" t="s">
        <v>1220</v>
      </c>
      <c r="M254" s="249" t="s">
        <v>1219</v>
      </c>
      <c r="N254" s="242"/>
      <c r="O254" s="251" t="s">
        <v>1256</v>
      </c>
      <c r="P254" s="242"/>
      <c r="Q254" s="265" t="s">
        <v>1268</v>
      </c>
      <c r="R254" s="265" t="s">
        <v>1268</v>
      </c>
      <c r="S254" s="277"/>
      <c r="T254" s="249" t="s">
        <v>1250</v>
      </c>
      <c r="U254" s="249"/>
      <c r="V254" s="249"/>
      <c r="W254" s="249"/>
      <c r="X254" s="253"/>
      <c r="Y254" s="254"/>
      <c r="Z254" s="255"/>
      <c r="AA254" s="256"/>
      <c r="AB254" s="257"/>
      <c r="AC254" s="256"/>
      <c r="AD254" s="255"/>
      <c r="AE254" s="257"/>
      <c r="AF254" s="256"/>
      <c r="AG254" s="253"/>
      <c r="AH254" s="258"/>
      <c r="AI254" s="258"/>
    </row>
    <row r="255" spans="1:35">
      <c r="A255" s="237">
        <v>174</v>
      </c>
      <c r="B255" s="238" t="s">
        <v>163</v>
      </c>
      <c r="C255" s="239" t="s">
        <v>1322</v>
      </c>
      <c r="D255" s="240"/>
      <c r="E255" s="307">
        <v>221.28299999999999</v>
      </c>
      <c r="F255" s="242">
        <v>59</v>
      </c>
      <c r="G255" s="243">
        <v>20</v>
      </c>
      <c r="H255" s="242" t="s">
        <v>1323</v>
      </c>
      <c r="I255" s="243">
        <v>20</v>
      </c>
      <c r="J255" s="245">
        <v>5.6499999999999998E-5</v>
      </c>
      <c r="K255" s="243">
        <v>10</v>
      </c>
      <c r="L255" s="245"/>
      <c r="M255" s="242">
        <v>2.64</v>
      </c>
      <c r="N255" s="242">
        <f>10^M255</f>
        <v>436.51583224016622</v>
      </c>
      <c r="O255" s="242">
        <v>2.72</v>
      </c>
      <c r="P255" s="242">
        <f>10^O255</f>
        <v>524.80746024977293</v>
      </c>
      <c r="Q255" s="238" t="s">
        <v>550</v>
      </c>
      <c r="R255" s="238" t="s">
        <v>550</v>
      </c>
      <c r="S255" s="277"/>
      <c r="T255" s="245"/>
      <c r="U255" s="238"/>
      <c r="V255" s="245"/>
      <c r="W255" s="245"/>
      <c r="X255" s="247"/>
      <c r="Y255" s="242"/>
      <c r="Z255" s="242"/>
      <c r="AA255" s="245"/>
      <c r="AB255" s="242"/>
      <c r="AC255" s="245"/>
      <c r="AD255" s="242"/>
      <c r="AE255" s="242"/>
      <c r="AF255" s="245"/>
      <c r="AG255" s="240"/>
      <c r="AH255" s="248"/>
      <c r="AI255" s="248"/>
    </row>
    <row r="256" spans="1:35" ht="25.5">
      <c r="A256" s="237"/>
      <c r="B256" s="249"/>
      <c r="C256" s="239"/>
      <c r="D256" s="240"/>
      <c r="E256" s="250" t="s">
        <v>1219</v>
      </c>
      <c r="F256" s="249" t="s">
        <v>1319</v>
      </c>
      <c r="G256" s="251"/>
      <c r="H256" s="249" t="s">
        <v>1319</v>
      </c>
      <c r="I256" s="251"/>
      <c r="J256" s="249" t="s">
        <v>1219</v>
      </c>
      <c r="K256" s="251"/>
      <c r="L256" s="251" t="s">
        <v>1220</v>
      </c>
      <c r="M256" s="249" t="s">
        <v>1219</v>
      </c>
      <c r="N256" s="242"/>
      <c r="O256" s="251" t="s">
        <v>1324</v>
      </c>
      <c r="P256" s="242"/>
      <c r="Q256" s="265" t="s">
        <v>550</v>
      </c>
      <c r="R256" s="249" t="s">
        <v>550</v>
      </c>
      <c r="S256" s="278"/>
      <c r="T256" s="249"/>
      <c r="U256" s="249"/>
      <c r="V256" s="249"/>
      <c r="W256" s="249"/>
      <c r="X256" s="253"/>
      <c r="Y256" s="254"/>
      <c r="Z256" s="255"/>
      <c r="AA256" s="256"/>
      <c r="AB256" s="257"/>
      <c r="AC256" s="256"/>
      <c r="AD256" s="255"/>
      <c r="AE256" s="257"/>
      <c r="AF256" s="256"/>
      <c r="AG256" s="253"/>
      <c r="AH256" s="258"/>
      <c r="AI256" s="258"/>
    </row>
    <row r="257" spans="1:35">
      <c r="A257" s="237">
        <v>175</v>
      </c>
      <c r="B257" s="238" t="s">
        <v>164</v>
      </c>
      <c r="C257" s="239" t="s">
        <v>1325</v>
      </c>
      <c r="D257" s="240"/>
      <c r="E257" s="307">
        <v>259.09899999999999</v>
      </c>
      <c r="F257" s="235">
        <v>320</v>
      </c>
      <c r="G257" s="261">
        <v>20</v>
      </c>
      <c r="H257" s="245">
        <v>4.0000000000000002E-4</v>
      </c>
      <c r="I257" s="243">
        <v>20</v>
      </c>
      <c r="J257" s="245">
        <v>3.1399999999999999E-4</v>
      </c>
      <c r="K257" s="243">
        <v>10</v>
      </c>
      <c r="L257" s="245"/>
      <c r="M257" s="242">
        <v>2.38</v>
      </c>
      <c r="N257" s="242">
        <f>10^M257</f>
        <v>239.88329190194912</v>
      </c>
      <c r="O257" s="242">
        <v>1.99</v>
      </c>
      <c r="P257" s="242">
        <f>10^O257</f>
        <v>97.723722095581124</v>
      </c>
      <c r="Q257" s="238" t="s">
        <v>550</v>
      </c>
      <c r="R257" s="238" t="s">
        <v>550</v>
      </c>
      <c r="S257" s="280"/>
      <c r="T257" s="245">
        <v>8.0000000000000002E-3</v>
      </c>
      <c r="U257" s="245"/>
      <c r="V257" s="245"/>
      <c r="W257" s="245"/>
      <c r="X257" s="247"/>
      <c r="Y257" s="242"/>
      <c r="Z257" s="242"/>
      <c r="AA257" s="245"/>
      <c r="AB257" s="242"/>
      <c r="AC257" s="245"/>
      <c r="AD257" s="242"/>
      <c r="AE257" s="242"/>
      <c r="AF257" s="245"/>
      <c r="AG257" s="240"/>
      <c r="AH257" s="248"/>
      <c r="AI257" s="248"/>
    </row>
    <row r="258" spans="1:35" ht="63.75">
      <c r="A258" s="237"/>
      <c r="B258" s="249"/>
      <c r="C258" s="239"/>
      <c r="D258" s="240"/>
      <c r="E258" s="250" t="s">
        <v>1023</v>
      </c>
      <c r="F258" s="249" t="s">
        <v>1326</v>
      </c>
      <c r="G258" s="251"/>
      <c r="H258" s="249" t="s">
        <v>1326</v>
      </c>
      <c r="I258" s="251"/>
      <c r="J258" s="249" t="s">
        <v>1219</v>
      </c>
      <c r="K258" s="251"/>
      <c r="L258" s="251" t="s">
        <v>1220</v>
      </c>
      <c r="M258" s="249" t="s">
        <v>1219</v>
      </c>
      <c r="N258" s="242"/>
      <c r="O258" s="249" t="s">
        <v>1327</v>
      </c>
      <c r="P258" s="242"/>
      <c r="Q258" s="249" t="s">
        <v>550</v>
      </c>
      <c r="R258" s="249" t="s">
        <v>550</v>
      </c>
      <c r="S258" s="281"/>
      <c r="T258" s="249" t="s">
        <v>1250</v>
      </c>
      <c r="U258" s="249"/>
      <c r="V258" s="249"/>
      <c r="W258" s="249"/>
      <c r="X258" s="253"/>
      <c r="Y258" s="254"/>
      <c r="Z258" s="255"/>
      <c r="AA258" s="256"/>
      <c r="AB258" s="257"/>
      <c r="AC258" s="256"/>
      <c r="AD258" s="255"/>
      <c r="AE258" s="257"/>
      <c r="AF258" s="256"/>
      <c r="AG258" s="253"/>
      <c r="AH258" s="258"/>
      <c r="AI258" s="258"/>
    </row>
    <row r="259" spans="1:35">
      <c r="A259" s="237">
        <v>176</v>
      </c>
      <c r="B259" s="238" t="s">
        <v>165</v>
      </c>
      <c r="C259" s="239" t="s">
        <v>1328</v>
      </c>
      <c r="D259" s="240"/>
      <c r="E259" s="241">
        <v>283.79500000000002</v>
      </c>
      <c r="F259" s="235">
        <v>530</v>
      </c>
      <c r="G259" s="261">
        <v>20</v>
      </c>
      <c r="H259" s="245">
        <v>1.6999999999999999E-3</v>
      </c>
      <c r="I259" s="243">
        <v>20</v>
      </c>
      <c r="J259" s="245">
        <v>9.3000000000000005E-4</v>
      </c>
      <c r="K259" s="243">
        <v>10</v>
      </c>
      <c r="L259" s="245"/>
      <c r="M259" s="242">
        <v>3.14</v>
      </c>
      <c r="N259" s="242">
        <f>10^M259</f>
        <v>1380.3842646028863</v>
      </c>
      <c r="O259" s="242">
        <v>2.31</v>
      </c>
      <c r="P259" s="242">
        <f>10^O259</f>
        <v>204.17379446695315</v>
      </c>
      <c r="Q259" s="238" t="s">
        <v>550</v>
      </c>
      <c r="R259" s="238" t="s">
        <v>550</v>
      </c>
      <c r="S259" s="280"/>
      <c r="T259" s="245">
        <v>3.5000000000000001E-3</v>
      </c>
      <c r="U259" s="245"/>
      <c r="V259" s="245"/>
      <c r="W259" s="245"/>
      <c r="X259" s="247"/>
      <c r="Y259" s="242"/>
      <c r="Z259" s="242"/>
      <c r="AA259" s="245"/>
      <c r="AB259" s="242"/>
      <c r="AC259" s="245"/>
      <c r="AD259" s="242"/>
      <c r="AE259" s="242"/>
      <c r="AF259" s="245"/>
      <c r="AG259" s="240"/>
      <c r="AH259" s="248"/>
      <c r="AI259" s="248"/>
    </row>
    <row r="260" spans="1:35" ht="102">
      <c r="A260" s="237"/>
      <c r="B260" s="249"/>
      <c r="C260" s="239"/>
      <c r="D260" s="240"/>
      <c r="E260" s="250" t="s">
        <v>1023</v>
      </c>
      <c r="F260" s="251" t="s">
        <v>1329</v>
      </c>
      <c r="G260" s="251"/>
      <c r="H260" s="251" t="s">
        <v>1329</v>
      </c>
      <c r="I260" s="251"/>
      <c r="J260" s="244" t="s">
        <v>686</v>
      </c>
      <c r="K260" s="251"/>
      <c r="L260" s="251" t="s">
        <v>1220</v>
      </c>
      <c r="M260" s="249" t="s">
        <v>1330</v>
      </c>
      <c r="N260" s="242"/>
      <c r="O260" s="249" t="s">
        <v>1330</v>
      </c>
      <c r="P260" s="242"/>
      <c r="Q260" s="265" t="s">
        <v>1268</v>
      </c>
      <c r="R260" s="265" t="s">
        <v>1268</v>
      </c>
      <c r="S260" s="281"/>
      <c r="T260" s="249" t="s">
        <v>1331</v>
      </c>
      <c r="U260" s="249"/>
      <c r="V260" s="249"/>
      <c r="W260" s="249"/>
      <c r="X260" s="253"/>
      <c r="Y260" s="254"/>
      <c r="Z260" s="255"/>
      <c r="AA260" s="256"/>
      <c r="AB260" s="257"/>
      <c r="AC260" s="256"/>
      <c r="AD260" s="255"/>
      <c r="AE260" s="257"/>
      <c r="AF260" s="256"/>
      <c r="AG260" s="253"/>
      <c r="AH260" s="258"/>
      <c r="AI260" s="258"/>
    </row>
    <row r="261" spans="1:35">
      <c r="A261" s="237">
        <v>178</v>
      </c>
      <c r="B261" s="238" t="s">
        <v>166</v>
      </c>
      <c r="C261" s="239" t="s">
        <v>1332</v>
      </c>
      <c r="D261" s="240"/>
      <c r="E261" s="241">
        <v>214.648</v>
      </c>
      <c r="F261" s="235">
        <v>735</v>
      </c>
      <c r="G261" s="261">
        <v>20</v>
      </c>
      <c r="H261" s="245">
        <v>1.9900000000000001E-2</v>
      </c>
      <c r="I261" s="243">
        <v>20</v>
      </c>
      <c r="J261" s="245">
        <v>5.7999999999999996E-3</v>
      </c>
      <c r="K261" s="243">
        <v>10</v>
      </c>
      <c r="L261" s="245"/>
      <c r="M261" s="242">
        <v>2.09</v>
      </c>
      <c r="N261" s="242">
        <f>10^M261</f>
        <v>123.02687708123821</v>
      </c>
      <c r="O261" s="242">
        <v>1.96</v>
      </c>
      <c r="P261" s="242">
        <f>10^O261</f>
        <v>91.201083935590972</v>
      </c>
      <c r="Q261" s="238" t="s">
        <v>550</v>
      </c>
      <c r="R261" s="238" t="s">
        <v>550</v>
      </c>
      <c r="S261" s="280"/>
      <c r="T261" s="245">
        <v>3.0000000000000001E-3</v>
      </c>
      <c r="U261" s="238"/>
      <c r="V261" s="245"/>
      <c r="W261" s="245"/>
      <c r="X261" s="247"/>
      <c r="Y261" s="242"/>
      <c r="Z261" s="242"/>
      <c r="AA261" s="245"/>
      <c r="AB261" s="242"/>
      <c r="AC261" s="245"/>
      <c r="AD261" s="242"/>
      <c r="AE261" s="242"/>
      <c r="AF261" s="245"/>
      <c r="AG261" s="240"/>
      <c r="AH261" s="248"/>
      <c r="AI261" s="248"/>
    </row>
    <row r="262" spans="1:35" ht="102">
      <c r="A262" s="237"/>
      <c r="B262" s="249"/>
      <c r="C262" s="239"/>
      <c r="D262" s="240"/>
      <c r="E262" s="250" t="s">
        <v>1023</v>
      </c>
      <c r="F262" s="251" t="s">
        <v>1333</v>
      </c>
      <c r="G262" s="251"/>
      <c r="H262" s="251" t="s">
        <v>1334</v>
      </c>
      <c r="I262" s="251"/>
      <c r="J262" s="244" t="s">
        <v>686</v>
      </c>
      <c r="K262" s="251"/>
      <c r="L262" s="251" t="s">
        <v>1220</v>
      </c>
      <c r="M262" s="249" t="s">
        <v>1335</v>
      </c>
      <c r="N262" s="242"/>
      <c r="O262" s="249" t="s">
        <v>1336</v>
      </c>
      <c r="P262" s="242"/>
      <c r="Q262" s="265" t="s">
        <v>1268</v>
      </c>
      <c r="R262" s="265" t="s">
        <v>1268</v>
      </c>
      <c r="S262" s="281"/>
      <c r="T262" s="249" t="s">
        <v>1250</v>
      </c>
      <c r="U262" s="249"/>
      <c r="V262" s="249"/>
      <c r="W262" s="249"/>
      <c r="X262" s="253"/>
      <c r="Y262" s="254"/>
      <c r="Z262" s="255"/>
      <c r="AA262" s="256"/>
      <c r="AB262" s="257"/>
      <c r="AC262" s="256"/>
      <c r="AD262" s="255"/>
      <c r="AE262" s="257"/>
      <c r="AF262" s="256"/>
      <c r="AG262" s="253"/>
      <c r="AH262" s="258"/>
      <c r="AI262" s="258"/>
    </row>
    <row r="263" spans="1:35">
      <c r="A263" s="237">
        <v>179</v>
      </c>
      <c r="B263" s="238" t="s">
        <v>110</v>
      </c>
      <c r="C263" s="239" t="s">
        <v>793</v>
      </c>
      <c r="D263" s="240"/>
      <c r="E263" s="499">
        <v>266.33999999999997</v>
      </c>
      <c r="F263" s="473">
        <v>14</v>
      </c>
      <c r="G263" s="486">
        <v>20</v>
      </c>
      <c r="H263" s="479">
        <v>1.47E-2</v>
      </c>
      <c r="I263" s="477">
        <v>20</v>
      </c>
      <c r="J263" s="479">
        <v>2.48E-3</v>
      </c>
      <c r="K263" s="477">
        <v>10</v>
      </c>
      <c r="L263" s="491">
        <v>2.2400000000000002E-6</v>
      </c>
      <c r="M263" s="476">
        <v>5.07</v>
      </c>
      <c r="N263" s="476">
        <f>10^M263</f>
        <v>117489.75549395311</v>
      </c>
      <c r="O263" s="476">
        <v>3.64</v>
      </c>
      <c r="P263" s="476">
        <f>10^O263</f>
        <v>4365.1583224016631</v>
      </c>
      <c r="Q263" s="474">
        <v>4.7</v>
      </c>
      <c r="R263" s="474">
        <v>1</v>
      </c>
      <c r="S263" s="280"/>
      <c r="T263" s="479">
        <v>1E-3</v>
      </c>
      <c r="U263" s="474"/>
      <c r="V263" s="479">
        <v>2.5000000000000001E-5</v>
      </c>
      <c r="W263" s="479">
        <v>1.9599999999999999E-3</v>
      </c>
      <c r="X263" s="247"/>
      <c r="Y263" s="242"/>
      <c r="Z263" s="242"/>
      <c r="AA263" s="245"/>
      <c r="AB263" s="242"/>
      <c r="AC263" s="245"/>
      <c r="AD263" s="242"/>
      <c r="AE263" s="242"/>
      <c r="AF263" s="245"/>
      <c r="AG263" s="240"/>
      <c r="AH263" s="248"/>
      <c r="AI263" s="248"/>
    </row>
    <row r="264" spans="1:35" ht="242.25">
      <c r="A264" s="237"/>
      <c r="B264" s="249"/>
      <c r="C264" s="239"/>
      <c r="D264" s="240"/>
      <c r="E264" s="481" t="s">
        <v>1023</v>
      </c>
      <c r="F264" s="482" t="s">
        <v>1337</v>
      </c>
      <c r="G264" s="482"/>
      <c r="H264" s="482" t="s">
        <v>1338</v>
      </c>
      <c r="I264" s="482"/>
      <c r="J264" s="478" t="s">
        <v>686</v>
      </c>
      <c r="K264" s="482"/>
      <c r="L264" s="483" t="s">
        <v>690</v>
      </c>
      <c r="M264" s="482" t="s">
        <v>715</v>
      </c>
      <c r="N264" s="476"/>
      <c r="O264" s="480" t="s">
        <v>1339</v>
      </c>
      <c r="P264" s="476"/>
      <c r="Q264" s="489" t="s">
        <v>1340</v>
      </c>
      <c r="R264" s="489" t="s">
        <v>1237</v>
      </c>
      <c r="S264" s="281"/>
      <c r="T264" s="480" t="s">
        <v>1341</v>
      </c>
      <c r="U264" s="480"/>
      <c r="V264" s="480" t="s">
        <v>1342</v>
      </c>
      <c r="W264" s="480" t="s">
        <v>1343</v>
      </c>
      <c r="X264" s="253"/>
      <c r="Y264" s="254"/>
      <c r="Z264" s="255"/>
      <c r="AA264" s="256"/>
      <c r="AB264" s="257"/>
      <c r="AC264" s="256"/>
      <c r="AD264" s="255"/>
      <c r="AE264" s="257"/>
      <c r="AF264" s="256"/>
      <c r="AG264" s="253"/>
      <c r="AH264" s="258"/>
      <c r="AI264" s="258"/>
    </row>
    <row r="265" spans="1:35">
      <c r="A265" s="237">
        <v>180</v>
      </c>
      <c r="B265" s="238" t="s">
        <v>421</v>
      </c>
      <c r="C265" s="239" t="s">
        <v>1344</v>
      </c>
      <c r="D265" s="240"/>
      <c r="E265" s="241">
        <v>241.357</v>
      </c>
      <c r="F265" s="245">
        <v>48</v>
      </c>
      <c r="G265" s="243">
        <v>20</v>
      </c>
      <c r="H265" s="276">
        <v>1.2999999999999999E-4</v>
      </c>
      <c r="I265" s="261">
        <v>20</v>
      </c>
      <c r="J265" s="276">
        <v>5.0000000000000001E-4</v>
      </c>
      <c r="K265" s="261">
        <v>10</v>
      </c>
      <c r="L265" s="276"/>
      <c r="M265" s="260">
        <v>3.18</v>
      </c>
      <c r="N265" s="242">
        <f>10^M265</f>
        <v>1513.5612484362093</v>
      </c>
      <c r="O265" s="260">
        <v>2.61</v>
      </c>
      <c r="P265" s="242">
        <f>10^O265</f>
        <v>407.38027780411272</v>
      </c>
      <c r="Q265" s="238">
        <v>4.05</v>
      </c>
      <c r="R265" s="238">
        <v>2</v>
      </c>
      <c r="S265" s="280"/>
      <c r="T265" s="235">
        <v>4.0000000000000001E-3</v>
      </c>
      <c r="U265" s="235"/>
      <c r="V265" s="238"/>
      <c r="W265" s="238"/>
      <c r="X265" s="240"/>
      <c r="Y265" s="242"/>
      <c r="Z265" s="242"/>
      <c r="AA265" s="245"/>
      <c r="AB265" s="242"/>
      <c r="AC265" s="245"/>
      <c r="AD265" s="242"/>
      <c r="AE265" s="242"/>
      <c r="AF265" s="245"/>
      <c r="AG265" s="240"/>
      <c r="AH265" s="248"/>
      <c r="AI265" s="248"/>
    </row>
    <row r="266" spans="1:35" ht="102">
      <c r="A266" s="237"/>
      <c r="B266" s="249"/>
      <c r="C266" s="239"/>
      <c r="D266" s="240"/>
      <c r="E266" s="250" t="s">
        <v>1023</v>
      </c>
      <c r="F266" s="249" t="s">
        <v>1345</v>
      </c>
      <c r="G266" s="251"/>
      <c r="H266" s="249" t="s">
        <v>1346</v>
      </c>
      <c r="I266" s="251"/>
      <c r="J266" s="244" t="s">
        <v>686</v>
      </c>
      <c r="K266" s="251"/>
      <c r="L266" s="251" t="s">
        <v>1220</v>
      </c>
      <c r="M266" s="249" t="s">
        <v>1347</v>
      </c>
      <c r="N266" s="242"/>
      <c r="O266" s="249" t="s">
        <v>1348</v>
      </c>
      <c r="P266" s="242"/>
      <c r="Q266" s="265" t="s">
        <v>1349</v>
      </c>
      <c r="R266" s="265" t="s">
        <v>1249</v>
      </c>
      <c r="S266" s="280"/>
      <c r="T266" s="254" t="s">
        <v>1306</v>
      </c>
      <c r="U266" s="256"/>
      <c r="V266" s="249"/>
      <c r="W266" s="238"/>
      <c r="X266" s="240"/>
      <c r="Y266" s="254"/>
      <c r="Z266" s="255"/>
      <c r="AA266" s="256"/>
      <c r="AB266" s="257"/>
      <c r="AC266" s="256"/>
      <c r="AD266" s="255"/>
      <c r="AE266" s="257"/>
      <c r="AF266" s="256"/>
      <c r="AG266" s="253"/>
      <c r="AH266" s="258"/>
      <c r="AI266" s="258"/>
    </row>
    <row r="267" spans="1:35">
      <c r="A267" s="237">
        <v>181</v>
      </c>
      <c r="B267" s="235" t="s">
        <v>422</v>
      </c>
      <c r="C267" s="272" t="s">
        <v>1350</v>
      </c>
      <c r="D267" s="259"/>
      <c r="E267" s="282">
        <v>211.68799999999999</v>
      </c>
      <c r="F267" s="235">
        <v>700</v>
      </c>
      <c r="G267" s="261">
        <v>20</v>
      </c>
      <c r="H267" s="276">
        <v>0.03</v>
      </c>
      <c r="I267" s="261">
        <v>20</v>
      </c>
      <c r="J267" s="276">
        <v>1.0999999999999999E-2</v>
      </c>
      <c r="K267" s="261">
        <v>10</v>
      </c>
      <c r="L267" s="276"/>
      <c r="M267" s="260">
        <v>2.2799999999999998</v>
      </c>
      <c r="N267" s="242">
        <f>10^M267</f>
        <v>190.54607179632481</v>
      </c>
      <c r="O267" s="260">
        <v>2.34</v>
      </c>
      <c r="P267" s="242">
        <f>10^O267</f>
        <v>218.77616239495524</v>
      </c>
      <c r="Q267" s="238" t="s">
        <v>550</v>
      </c>
      <c r="R267" s="238" t="s">
        <v>550</v>
      </c>
      <c r="S267" s="280"/>
      <c r="T267" s="276">
        <v>1.2999999999999999E-2</v>
      </c>
      <c r="U267" s="235"/>
      <c r="V267" s="238"/>
      <c r="W267" s="238"/>
      <c r="X267" s="240"/>
      <c r="Y267" s="242"/>
      <c r="Z267" s="242"/>
      <c r="AA267" s="245"/>
      <c r="AB267" s="242"/>
      <c r="AC267" s="245"/>
      <c r="AD267" s="242"/>
      <c r="AE267" s="242"/>
      <c r="AF267" s="245"/>
      <c r="AG267" s="240"/>
      <c r="AH267" s="248"/>
      <c r="AI267" s="248"/>
    </row>
    <row r="268" spans="1:35" ht="102">
      <c r="A268" s="237"/>
      <c r="B268" s="249"/>
      <c r="C268" s="272"/>
      <c r="D268" s="259"/>
      <c r="E268" s="250" t="s">
        <v>1023</v>
      </c>
      <c r="F268" s="283" t="s">
        <v>777</v>
      </c>
      <c r="G268" s="285"/>
      <c r="H268" s="249" t="s">
        <v>1351</v>
      </c>
      <c r="I268" s="251"/>
      <c r="J268" s="244" t="s">
        <v>686</v>
      </c>
      <c r="K268" s="251"/>
      <c r="L268" s="251" t="s">
        <v>1220</v>
      </c>
      <c r="M268" s="249" t="s">
        <v>1335</v>
      </c>
      <c r="N268" s="242"/>
      <c r="O268" s="249" t="s">
        <v>1352</v>
      </c>
      <c r="P268" s="242"/>
      <c r="Q268" s="265" t="s">
        <v>1268</v>
      </c>
      <c r="R268" s="265" t="s">
        <v>1268</v>
      </c>
      <c r="S268" s="286"/>
      <c r="T268" s="254" t="s">
        <v>1306</v>
      </c>
      <c r="U268" s="254"/>
      <c r="V268" s="283"/>
      <c r="W268" s="283"/>
      <c r="X268" s="287"/>
      <c r="Y268" s="254"/>
      <c r="Z268" s="255"/>
      <c r="AA268" s="256"/>
      <c r="AB268" s="257"/>
      <c r="AC268" s="256"/>
      <c r="AD268" s="255"/>
      <c r="AE268" s="257"/>
      <c r="AF268" s="256"/>
      <c r="AG268" s="253"/>
      <c r="AH268" s="258"/>
      <c r="AI268" s="258"/>
    </row>
    <row r="269" spans="1:35">
      <c r="A269" s="237">
        <v>182</v>
      </c>
      <c r="B269" s="238" t="s">
        <v>423</v>
      </c>
      <c r="C269" s="239" t="s">
        <v>1353</v>
      </c>
      <c r="D269" s="240"/>
      <c r="E269" s="241">
        <v>218.07900000000001</v>
      </c>
      <c r="F269" s="235">
        <v>130</v>
      </c>
      <c r="G269" s="261">
        <v>20</v>
      </c>
      <c r="H269" s="308">
        <v>5.0000000000000001E-3</v>
      </c>
      <c r="I269" s="243">
        <v>20</v>
      </c>
      <c r="J269" s="245">
        <v>3.5999999999999999E-3</v>
      </c>
      <c r="K269" s="243">
        <v>10</v>
      </c>
      <c r="L269" s="245"/>
      <c r="M269" s="242">
        <v>2.71</v>
      </c>
      <c r="N269" s="242">
        <f>10^M269</f>
        <v>512.86138399136519</v>
      </c>
      <c r="O269" s="242">
        <v>2.25</v>
      </c>
      <c r="P269" s="242">
        <f>10^O269</f>
        <v>177.82794100389242</v>
      </c>
      <c r="Q269" s="238" t="s">
        <v>550</v>
      </c>
      <c r="R269" s="238" t="s">
        <v>550</v>
      </c>
      <c r="S269" s="280"/>
      <c r="T269" s="235">
        <v>5.0000000000000001E-3</v>
      </c>
      <c r="U269" s="235"/>
      <c r="V269" s="238"/>
      <c r="W269" s="238"/>
      <c r="X269" s="240"/>
      <c r="Y269" s="242"/>
      <c r="Z269" s="242"/>
      <c r="AA269" s="245"/>
      <c r="AB269" s="242"/>
      <c r="AC269" s="245"/>
      <c r="AD269" s="242"/>
      <c r="AE269" s="242"/>
      <c r="AF269" s="245"/>
      <c r="AG269" s="240"/>
      <c r="AH269" s="248"/>
      <c r="AI269" s="248"/>
    </row>
    <row r="270" spans="1:35" ht="114.75">
      <c r="A270" s="237"/>
      <c r="B270" s="249"/>
      <c r="C270" s="239"/>
      <c r="D270" s="240"/>
      <c r="E270" s="250" t="s">
        <v>1023</v>
      </c>
      <c r="F270" s="251" t="s">
        <v>1354</v>
      </c>
      <c r="G270" s="251"/>
      <c r="H270" s="249" t="s">
        <v>1355</v>
      </c>
      <c r="I270" s="251"/>
      <c r="J270" s="244" t="s">
        <v>686</v>
      </c>
      <c r="K270" s="251"/>
      <c r="L270" s="251" t="s">
        <v>1220</v>
      </c>
      <c r="M270" s="249" t="s">
        <v>1347</v>
      </c>
      <c r="N270" s="242"/>
      <c r="O270" s="249" t="s">
        <v>1356</v>
      </c>
      <c r="P270" s="242"/>
      <c r="Q270" s="265" t="s">
        <v>1357</v>
      </c>
      <c r="R270" s="265" t="s">
        <v>1357</v>
      </c>
      <c r="S270" s="280"/>
      <c r="T270" s="256" t="s">
        <v>1358</v>
      </c>
      <c r="U270" s="256"/>
      <c r="V270" s="249"/>
      <c r="W270" s="249"/>
      <c r="X270" s="253"/>
      <c r="Y270" s="254"/>
      <c r="Z270" s="255"/>
      <c r="AA270" s="256"/>
      <c r="AB270" s="257"/>
      <c r="AC270" s="256"/>
      <c r="AD270" s="255"/>
      <c r="AE270" s="257"/>
      <c r="AF270" s="256"/>
      <c r="AG270" s="253"/>
      <c r="AH270" s="258"/>
      <c r="AI270" s="258"/>
    </row>
    <row r="271" spans="1:35">
      <c r="A271" s="237">
        <v>183</v>
      </c>
      <c r="B271" s="288" t="s">
        <v>167</v>
      </c>
      <c r="C271" s="239" t="s">
        <v>1359</v>
      </c>
      <c r="D271" s="240"/>
      <c r="E271" s="241">
        <v>229.71</v>
      </c>
      <c r="F271" s="245">
        <v>8.6</v>
      </c>
      <c r="G271" s="243">
        <v>20</v>
      </c>
      <c r="H271" s="276">
        <v>3.9999999999999998E-6</v>
      </c>
      <c r="I271" s="261">
        <v>20</v>
      </c>
      <c r="J271" s="276">
        <v>1E-4</v>
      </c>
      <c r="K271" s="261">
        <v>10</v>
      </c>
      <c r="L271" s="276"/>
      <c r="M271" s="235">
        <v>2.88</v>
      </c>
      <c r="N271" s="242">
        <f>10^M271</f>
        <v>758.57757502918378</v>
      </c>
      <c r="O271" s="235">
        <v>2.2799999999999998</v>
      </c>
      <c r="P271" s="242">
        <f>10^O271</f>
        <v>190.54607179632481</v>
      </c>
      <c r="Q271" s="235">
        <v>1.85</v>
      </c>
      <c r="R271" s="235">
        <v>2</v>
      </c>
      <c r="S271" s="280"/>
      <c r="T271" s="235">
        <v>0.02</v>
      </c>
      <c r="U271" s="235"/>
      <c r="V271" s="238"/>
      <c r="W271" s="238"/>
      <c r="X271" s="240"/>
      <c r="Y271" s="242"/>
      <c r="Z271" s="242"/>
      <c r="AA271" s="245"/>
      <c r="AB271" s="242"/>
      <c r="AC271" s="245"/>
      <c r="AD271" s="242"/>
      <c r="AE271" s="242"/>
      <c r="AF271" s="245"/>
      <c r="AG271" s="240"/>
      <c r="AH271" s="248"/>
      <c r="AI271" s="248"/>
    </row>
    <row r="272" spans="1:35" ht="102">
      <c r="A272" s="237"/>
      <c r="B272" s="249"/>
      <c r="C272" s="239"/>
      <c r="D272" s="240"/>
      <c r="E272" s="250" t="s">
        <v>1023</v>
      </c>
      <c r="F272" s="283" t="s">
        <v>1360</v>
      </c>
      <c r="G272" s="285"/>
      <c r="H272" s="249" t="s">
        <v>1355</v>
      </c>
      <c r="I272" s="251"/>
      <c r="J272" s="244" t="s">
        <v>686</v>
      </c>
      <c r="K272" s="251"/>
      <c r="L272" s="251" t="s">
        <v>1220</v>
      </c>
      <c r="M272" s="249" t="s">
        <v>1361</v>
      </c>
      <c r="N272" s="242"/>
      <c r="O272" s="249" t="s">
        <v>1362</v>
      </c>
      <c r="P272" s="242"/>
      <c r="Q272" s="249" t="s">
        <v>1363</v>
      </c>
      <c r="R272" s="254" t="s">
        <v>1231</v>
      </c>
      <c r="S272" s="280"/>
      <c r="T272" s="256" t="s">
        <v>1306</v>
      </c>
      <c r="U272" s="256"/>
      <c r="V272" s="238"/>
      <c r="W272" s="249"/>
      <c r="X272" s="253"/>
      <c r="Y272" s="254"/>
      <c r="Z272" s="255"/>
      <c r="AA272" s="256"/>
      <c r="AB272" s="257"/>
      <c r="AC272" s="256"/>
      <c r="AD272" s="255"/>
      <c r="AE272" s="257"/>
      <c r="AF272" s="256"/>
      <c r="AG272" s="253"/>
      <c r="AH272" s="258"/>
      <c r="AI272" s="258"/>
    </row>
    <row r="273" spans="1:35">
      <c r="A273" s="237">
        <v>184</v>
      </c>
      <c r="B273" s="288" t="s">
        <v>168</v>
      </c>
      <c r="C273" s="239" t="s">
        <v>1359</v>
      </c>
      <c r="D273" s="240"/>
      <c r="E273" s="241"/>
      <c r="F273" s="245"/>
      <c r="G273" s="243"/>
      <c r="H273" s="276">
        <v>6383.4750000000004</v>
      </c>
      <c r="I273" s="261" t="s">
        <v>550</v>
      </c>
      <c r="J273" s="276" t="s">
        <v>550</v>
      </c>
      <c r="K273" s="261" t="s">
        <v>550</v>
      </c>
      <c r="L273" s="276"/>
      <c r="M273" s="235"/>
      <c r="N273" s="242"/>
      <c r="O273" s="235"/>
      <c r="P273" s="242"/>
      <c r="Q273" s="235" t="s">
        <v>550</v>
      </c>
      <c r="R273" s="235" t="s">
        <v>550</v>
      </c>
      <c r="S273" s="280"/>
      <c r="T273" s="235"/>
      <c r="U273" s="235"/>
      <c r="V273" s="238"/>
      <c r="W273" s="238"/>
      <c r="X273" s="240"/>
      <c r="Y273" s="242"/>
      <c r="Z273" s="242"/>
      <c r="AA273" s="245"/>
      <c r="AB273" s="242"/>
      <c r="AC273" s="245"/>
      <c r="AD273" s="242"/>
      <c r="AE273" s="242"/>
      <c r="AF273" s="245"/>
      <c r="AG273" s="240"/>
      <c r="AH273" s="248"/>
      <c r="AI273" s="248"/>
    </row>
    <row r="274" spans="1:35" ht="38.25">
      <c r="A274" s="237"/>
      <c r="B274" s="249"/>
      <c r="C274" s="239"/>
      <c r="D274" s="240"/>
      <c r="E274" s="297"/>
      <c r="F274" s="254"/>
      <c r="G274" s="289"/>
      <c r="H274" s="251" t="s">
        <v>1364</v>
      </c>
      <c r="I274" s="251"/>
      <c r="J274" s="263"/>
      <c r="K274" s="251"/>
      <c r="L274" s="251" t="s">
        <v>1220</v>
      </c>
      <c r="M274" s="256"/>
      <c r="N274" s="242"/>
      <c r="O274" s="254"/>
      <c r="P274" s="242"/>
      <c r="Q274" s="255" t="s">
        <v>550</v>
      </c>
      <c r="R274" s="254" t="s">
        <v>550</v>
      </c>
      <c r="S274" s="280"/>
      <c r="T274" s="256"/>
      <c r="U274" s="256"/>
      <c r="V274" s="238"/>
      <c r="W274" s="249"/>
      <c r="X274" s="253"/>
      <c r="Y274" s="254"/>
      <c r="Z274" s="255"/>
      <c r="AA274" s="256"/>
      <c r="AB274" s="257"/>
      <c r="AC274" s="256"/>
      <c r="AD274" s="255"/>
      <c r="AE274" s="257"/>
      <c r="AF274" s="256"/>
      <c r="AG274" s="253"/>
      <c r="AH274" s="258"/>
      <c r="AI274" s="258"/>
    </row>
    <row r="275" spans="1:35">
      <c r="A275" s="237">
        <v>185</v>
      </c>
      <c r="B275" s="288" t="s">
        <v>169</v>
      </c>
      <c r="C275" s="239" t="s">
        <v>1365</v>
      </c>
      <c r="D275" s="240"/>
      <c r="E275" s="309">
        <v>201.65700000000001</v>
      </c>
      <c r="F275" s="245">
        <v>5</v>
      </c>
      <c r="G275" s="243">
        <v>20</v>
      </c>
      <c r="H275" s="276">
        <v>8.4999999999999999E-6</v>
      </c>
      <c r="I275" s="261">
        <v>20</v>
      </c>
      <c r="J275" s="276">
        <v>3.4000000000000002E-4</v>
      </c>
      <c r="K275" s="261">
        <v>10</v>
      </c>
      <c r="L275" s="276"/>
      <c r="M275" s="260">
        <v>2</v>
      </c>
      <c r="N275" s="242">
        <f>10^M275</f>
        <v>100</v>
      </c>
      <c r="O275" s="235">
        <v>2.17</v>
      </c>
      <c r="P275" s="242">
        <f>10^O275</f>
        <v>147.91083881682084</v>
      </c>
      <c r="Q275" s="235">
        <v>1.7</v>
      </c>
      <c r="R275" s="235">
        <v>2</v>
      </c>
      <c r="S275" s="280"/>
      <c r="T275" s="276">
        <v>5.1999999999999995E-4</v>
      </c>
      <c r="U275" s="235"/>
      <c r="V275" s="238"/>
      <c r="W275" s="238"/>
      <c r="X275" s="240"/>
      <c r="Y275" s="242"/>
      <c r="Z275" s="242"/>
      <c r="AA275" s="245"/>
      <c r="AB275" s="242"/>
      <c r="AC275" s="245"/>
      <c r="AD275" s="242"/>
      <c r="AE275" s="242"/>
      <c r="AF275" s="245"/>
      <c r="AG275" s="240"/>
      <c r="AH275" s="248"/>
      <c r="AI275" s="248"/>
    </row>
    <row r="276" spans="1:35" ht="102">
      <c r="A276" s="237"/>
      <c r="B276" s="249"/>
      <c r="C276" s="239"/>
      <c r="D276" s="240"/>
      <c r="E276" s="250" t="s">
        <v>1023</v>
      </c>
      <c r="F276" s="249" t="s">
        <v>1366</v>
      </c>
      <c r="G276" s="251"/>
      <c r="H276" s="249" t="s">
        <v>1367</v>
      </c>
      <c r="I276" s="251"/>
      <c r="J276" s="244" t="s">
        <v>686</v>
      </c>
      <c r="K276" s="251"/>
      <c r="L276" s="251" t="s">
        <v>1220</v>
      </c>
      <c r="M276" s="249" t="s">
        <v>1368</v>
      </c>
      <c r="N276" s="242"/>
      <c r="O276" s="249" t="s">
        <v>1369</v>
      </c>
      <c r="P276" s="242"/>
      <c r="Q276" s="249" t="s">
        <v>1370</v>
      </c>
      <c r="R276" s="256" t="s">
        <v>1231</v>
      </c>
      <c r="S276" s="281"/>
      <c r="T276" s="256" t="s">
        <v>1371</v>
      </c>
      <c r="U276" s="256"/>
      <c r="V276" s="249"/>
      <c r="W276" s="249"/>
      <c r="X276" s="253"/>
      <c r="Y276" s="254"/>
      <c r="Z276" s="255"/>
      <c r="AA276" s="256"/>
      <c r="AB276" s="257"/>
      <c r="AC276" s="256"/>
      <c r="AD276" s="255"/>
      <c r="AE276" s="257"/>
      <c r="AF276" s="256"/>
      <c r="AG276" s="253"/>
      <c r="AH276" s="258"/>
      <c r="AI276" s="258"/>
    </row>
    <row r="277" spans="1:35">
      <c r="A277" s="237">
        <v>186</v>
      </c>
      <c r="B277" s="238" t="s">
        <v>170</v>
      </c>
      <c r="C277" s="239" t="s">
        <v>1359</v>
      </c>
      <c r="D277" s="240"/>
      <c r="E277" s="241">
        <v>229.71</v>
      </c>
      <c r="F277" s="242">
        <v>5</v>
      </c>
      <c r="G277" s="243">
        <v>20</v>
      </c>
      <c r="H277" s="276">
        <v>9.0000000000000006E-5</v>
      </c>
      <c r="I277" s="261">
        <v>20</v>
      </c>
      <c r="J277" s="276">
        <v>2.33E-3</v>
      </c>
      <c r="K277" s="261">
        <v>10</v>
      </c>
      <c r="L277" s="276"/>
      <c r="M277" s="260">
        <v>3.4</v>
      </c>
      <c r="N277" s="242">
        <f>10^M277</f>
        <v>2511.8864315095811</v>
      </c>
      <c r="O277" s="260">
        <v>3.01</v>
      </c>
      <c r="P277" s="242">
        <f>10^O277</f>
        <v>1023.2929922807547</v>
      </c>
      <c r="Q277" s="238">
        <v>2</v>
      </c>
      <c r="R277" s="238">
        <v>2</v>
      </c>
      <c r="S277" s="280"/>
      <c r="T277" s="276">
        <v>2.2000000000000001E-3</v>
      </c>
      <c r="U277" s="235"/>
      <c r="V277" s="238"/>
      <c r="W277" s="238"/>
      <c r="X277" s="240"/>
      <c r="Y277" s="242"/>
      <c r="Z277" s="242"/>
      <c r="AA277" s="245"/>
      <c r="AB277" s="242"/>
      <c r="AC277" s="245"/>
      <c r="AD277" s="242"/>
      <c r="AE277" s="242"/>
      <c r="AF277" s="245"/>
      <c r="AG277" s="240"/>
      <c r="AH277" s="248"/>
      <c r="AI277" s="248"/>
    </row>
    <row r="278" spans="1:35" ht="63.75">
      <c r="A278" s="237"/>
      <c r="B278" s="249"/>
      <c r="C278" s="239"/>
      <c r="D278" s="240"/>
      <c r="E278" s="250" t="s">
        <v>1023</v>
      </c>
      <c r="F278" s="249" t="s">
        <v>1372</v>
      </c>
      <c r="G278" s="251"/>
      <c r="H278" s="249" t="s">
        <v>1372</v>
      </c>
      <c r="I278" s="251"/>
      <c r="J278" s="251" t="s">
        <v>1340</v>
      </c>
      <c r="K278" s="251"/>
      <c r="L278" s="251" t="s">
        <v>1220</v>
      </c>
      <c r="M278" s="251" t="s">
        <v>1340</v>
      </c>
      <c r="N278" s="242"/>
      <c r="O278" s="251" t="s">
        <v>1256</v>
      </c>
      <c r="P278" s="242"/>
      <c r="Q278" s="265" t="s">
        <v>1340</v>
      </c>
      <c r="R278" s="265" t="s">
        <v>1373</v>
      </c>
      <c r="S278" s="281"/>
      <c r="T278" s="256" t="s">
        <v>1374</v>
      </c>
      <c r="U278" s="256"/>
      <c r="V278" s="249"/>
      <c r="W278" s="249"/>
      <c r="X278" s="253"/>
      <c r="Y278" s="254"/>
      <c r="Z278" s="255"/>
      <c r="AA278" s="256"/>
      <c r="AB278" s="257"/>
      <c r="AC278" s="256"/>
      <c r="AD278" s="255"/>
      <c r="AE278" s="257"/>
      <c r="AF278" s="256"/>
      <c r="AG278" s="253"/>
      <c r="AH278" s="258"/>
      <c r="AI278" s="258"/>
    </row>
    <row r="279" spans="1:35">
      <c r="A279" s="237">
        <v>187</v>
      </c>
      <c r="B279" s="238" t="s">
        <v>171</v>
      </c>
      <c r="C279" s="239" t="s">
        <v>1375</v>
      </c>
      <c r="D279" s="240"/>
      <c r="E279" s="241">
        <v>241.357</v>
      </c>
      <c r="F279" s="245">
        <v>58</v>
      </c>
      <c r="G279" s="243">
        <v>20</v>
      </c>
      <c r="H279" s="276">
        <v>1.2999999999999999E-4</v>
      </c>
      <c r="I279" s="261">
        <v>20</v>
      </c>
      <c r="J279" s="276">
        <v>1.2999999999999999E-3</v>
      </c>
      <c r="K279" s="261">
        <v>10</v>
      </c>
      <c r="L279" s="276"/>
      <c r="M279" s="235">
        <v>3.44</v>
      </c>
      <c r="N279" s="242">
        <f>10^M279</f>
        <v>2754.228703338169</v>
      </c>
      <c r="O279" s="235">
        <v>2.92</v>
      </c>
      <c r="P279" s="242">
        <f>10^O279</f>
        <v>831.7637711026714</v>
      </c>
      <c r="Q279" s="235">
        <v>4.3</v>
      </c>
      <c r="R279" s="235">
        <v>2</v>
      </c>
      <c r="S279" s="280"/>
      <c r="T279" s="276">
        <v>1E-3</v>
      </c>
      <c r="U279" s="235"/>
      <c r="V279" s="238"/>
      <c r="W279" s="238"/>
      <c r="X279" s="240"/>
      <c r="Y279" s="242"/>
      <c r="Z279" s="242"/>
      <c r="AA279" s="242"/>
      <c r="AB279" s="242"/>
      <c r="AC279" s="245"/>
      <c r="AD279" s="242"/>
      <c r="AE279" s="242"/>
      <c r="AF279" s="242"/>
      <c r="AG279" s="240"/>
      <c r="AH279" s="248"/>
      <c r="AI279" s="248"/>
    </row>
    <row r="280" spans="1:35" ht="102">
      <c r="A280" s="237"/>
      <c r="B280" s="251"/>
      <c r="C280" s="239"/>
      <c r="D280" s="240"/>
      <c r="E280" s="250" t="s">
        <v>1023</v>
      </c>
      <c r="F280" s="249" t="s">
        <v>1376</v>
      </c>
      <c r="G280" s="251"/>
      <c r="H280" s="249" t="s">
        <v>1377</v>
      </c>
      <c r="I280" s="251"/>
      <c r="J280" s="244" t="s">
        <v>686</v>
      </c>
      <c r="K280" s="251"/>
      <c r="L280" s="251" t="s">
        <v>1220</v>
      </c>
      <c r="M280" s="249" t="s">
        <v>1378</v>
      </c>
      <c r="N280" s="242"/>
      <c r="O280" s="249" t="s">
        <v>1379</v>
      </c>
      <c r="P280" s="242"/>
      <c r="Q280" s="249" t="s">
        <v>1380</v>
      </c>
      <c r="R280" s="256" t="s">
        <v>1249</v>
      </c>
      <c r="S280" s="281"/>
      <c r="T280" s="256" t="s">
        <v>1358</v>
      </c>
      <c r="U280" s="256"/>
      <c r="V280" s="249"/>
      <c r="W280" s="249"/>
      <c r="X280" s="253"/>
      <c r="Y280" s="255" t="s">
        <v>550</v>
      </c>
      <c r="Z280" s="255" t="s">
        <v>550</v>
      </c>
      <c r="AA280" s="257" t="s">
        <v>550</v>
      </c>
      <c r="AB280" s="257" t="s">
        <v>550</v>
      </c>
      <c r="AC280" s="257" t="s">
        <v>550</v>
      </c>
      <c r="AD280" s="255" t="s">
        <v>550</v>
      </c>
      <c r="AE280" s="257" t="s">
        <v>550</v>
      </c>
      <c r="AF280" s="255" t="s">
        <v>550</v>
      </c>
      <c r="AG280" s="253"/>
      <c r="AH280" s="258" t="s">
        <v>550</v>
      </c>
      <c r="AI280" s="258" t="s">
        <v>550</v>
      </c>
    </row>
    <row r="281" spans="1:35">
      <c r="A281" s="237">
        <v>188</v>
      </c>
      <c r="B281" s="288" t="s">
        <v>143</v>
      </c>
      <c r="C281" s="239" t="s">
        <v>1381</v>
      </c>
      <c r="D281" s="240"/>
      <c r="E281" s="241">
        <v>320.041</v>
      </c>
      <c r="F281" s="245">
        <v>0.02</v>
      </c>
      <c r="G281" s="243" t="s">
        <v>1532</v>
      </c>
      <c r="H281" s="276">
        <v>6.6199199999999996E-6</v>
      </c>
      <c r="I281" s="261">
        <v>10</v>
      </c>
      <c r="J281" s="276">
        <v>0.64</v>
      </c>
      <c r="K281" s="261">
        <v>20</v>
      </c>
      <c r="L281" s="276">
        <v>4.9999999999999998E-7</v>
      </c>
      <c r="M281" s="235">
        <v>5.83</v>
      </c>
      <c r="N281" s="242">
        <f>10^M281</f>
        <v>676082.97539198259</v>
      </c>
      <c r="O281" s="235">
        <v>5.23</v>
      </c>
      <c r="P281" s="242">
        <f>10^O281</f>
        <v>169824.36524617471</v>
      </c>
      <c r="Q281" s="235" t="s">
        <v>550</v>
      </c>
      <c r="R281" s="235" t="s">
        <v>550</v>
      </c>
      <c r="S281" s="280"/>
      <c r="T281" s="245">
        <v>5.0000000000000001E-4</v>
      </c>
      <c r="U281" s="238"/>
      <c r="V281" s="245">
        <f>0.00001/0.24</f>
        <v>4.1666666666666672E-5</v>
      </c>
      <c r="W281" s="238"/>
      <c r="X281" s="240"/>
      <c r="Y281" s="242"/>
      <c r="Z281" s="242"/>
      <c r="AA281" s="242"/>
      <c r="AB281" s="242"/>
      <c r="AC281" s="245"/>
      <c r="AD281" s="242"/>
      <c r="AE281" s="242"/>
      <c r="AF281" s="242"/>
      <c r="AG281" s="240"/>
      <c r="AH281" s="248"/>
      <c r="AI281" s="248"/>
    </row>
    <row r="282" spans="1:35" ht="242.25">
      <c r="A282" s="237"/>
      <c r="B282" s="249"/>
      <c r="C282" s="239"/>
      <c r="D282" s="240"/>
      <c r="E282" s="250" t="s">
        <v>1023</v>
      </c>
      <c r="F282" s="249" t="s">
        <v>1382</v>
      </c>
      <c r="G282" s="251"/>
      <c r="H282" s="249" t="s">
        <v>1383</v>
      </c>
      <c r="I282" s="251"/>
      <c r="J282" s="263" t="s">
        <v>686</v>
      </c>
      <c r="K282" s="251"/>
      <c r="L282" s="254" t="s">
        <v>690</v>
      </c>
      <c r="M282" s="249" t="s">
        <v>1384</v>
      </c>
      <c r="N282" s="242"/>
      <c r="O282" s="249" t="s">
        <v>1385</v>
      </c>
      <c r="P282" s="242"/>
      <c r="Q282" s="257" t="s">
        <v>550</v>
      </c>
      <c r="R282" s="256" t="s">
        <v>550</v>
      </c>
      <c r="S282" s="281"/>
      <c r="T282" s="256" t="s">
        <v>1045</v>
      </c>
      <c r="U282" s="256"/>
      <c r="V282" s="249" t="s">
        <v>1386</v>
      </c>
      <c r="W282" s="249"/>
      <c r="X282" s="253"/>
      <c r="Y282" s="255" t="s">
        <v>550</v>
      </c>
      <c r="Z282" s="255" t="s">
        <v>550</v>
      </c>
      <c r="AA282" s="257" t="s">
        <v>550</v>
      </c>
      <c r="AB282" s="257" t="s">
        <v>550</v>
      </c>
      <c r="AC282" s="257" t="s">
        <v>550</v>
      </c>
      <c r="AD282" s="255" t="s">
        <v>550</v>
      </c>
      <c r="AE282" s="257" t="s">
        <v>550</v>
      </c>
      <c r="AF282" s="255" t="s">
        <v>550</v>
      </c>
      <c r="AG282" s="253"/>
      <c r="AH282" s="258" t="s">
        <v>550</v>
      </c>
      <c r="AI282" s="258" t="s">
        <v>550</v>
      </c>
    </row>
    <row r="283" spans="1:35">
      <c r="A283" s="237">
        <v>189</v>
      </c>
      <c r="B283" s="245" t="s">
        <v>145</v>
      </c>
      <c r="C283" s="272" t="s">
        <v>1381</v>
      </c>
      <c r="D283" s="259"/>
      <c r="E283" s="275">
        <v>318.02600000000001</v>
      </c>
      <c r="F283" s="245">
        <v>0.04</v>
      </c>
      <c r="G283" s="243">
        <v>20</v>
      </c>
      <c r="H283" s="276">
        <v>7.4999999999999993E-5</v>
      </c>
      <c r="I283" s="261">
        <v>10</v>
      </c>
      <c r="J283" s="245">
        <v>1.25</v>
      </c>
      <c r="K283" s="243">
        <v>10</v>
      </c>
      <c r="L283" s="276">
        <v>4.9999999999999998E-7</v>
      </c>
      <c r="M283" s="242">
        <v>6.09</v>
      </c>
      <c r="N283" s="242">
        <f>10^M283</f>
        <v>1230268.770812382</v>
      </c>
      <c r="O283" s="242">
        <v>4.63</v>
      </c>
      <c r="P283" s="242">
        <f>10^O283</f>
        <v>42657.951880159271</v>
      </c>
      <c r="Q283" s="245" t="s">
        <v>550</v>
      </c>
      <c r="R283" s="245" t="s">
        <v>550</v>
      </c>
      <c r="S283" s="291"/>
      <c r="T283" s="245">
        <v>5.0000000000000001E-4</v>
      </c>
      <c r="U283" s="245"/>
      <c r="V283" s="245">
        <f>0.00001/0.34</f>
        <v>2.9411764705882354E-5</v>
      </c>
      <c r="W283" s="245"/>
      <c r="X283" s="247"/>
      <c r="Y283" s="242"/>
      <c r="Z283" s="242"/>
      <c r="AA283" s="242"/>
      <c r="AB283" s="242"/>
      <c r="AC283" s="245"/>
      <c r="AD283" s="242"/>
      <c r="AE283" s="242"/>
      <c r="AF283" s="242"/>
      <c r="AG283" s="240"/>
      <c r="AH283" s="248"/>
      <c r="AI283" s="248"/>
    </row>
    <row r="284" spans="1:35" ht="242.25">
      <c r="A284" s="237"/>
      <c r="B284" s="249"/>
      <c r="C284" s="272"/>
      <c r="D284" s="259"/>
      <c r="E284" s="250" t="s">
        <v>1023</v>
      </c>
      <c r="F284" s="249" t="s">
        <v>1387</v>
      </c>
      <c r="G284" s="251"/>
      <c r="H284" s="249" t="s">
        <v>1388</v>
      </c>
      <c r="I284" s="251"/>
      <c r="J284" s="244" t="s">
        <v>686</v>
      </c>
      <c r="K284" s="251"/>
      <c r="L284" s="254" t="s">
        <v>690</v>
      </c>
      <c r="M284" s="249" t="s">
        <v>1389</v>
      </c>
      <c r="N284" s="242"/>
      <c r="O284" s="249" t="s">
        <v>1390</v>
      </c>
      <c r="P284" s="242"/>
      <c r="Q284" s="255" t="s">
        <v>550</v>
      </c>
      <c r="R284" s="254" t="s">
        <v>550</v>
      </c>
      <c r="S284" s="291"/>
      <c r="T284" s="256" t="s">
        <v>1045</v>
      </c>
      <c r="U284" s="249"/>
      <c r="V284" s="249" t="s">
        <v>1386</v>
      </c>
      <c r="W284" s="249"/>
      <c r="X284" s="253"/>
      <c r="Y284" s="255" t="s">
        <v>550</v>
      </c>
      <c r="Z284" s="255" t="s">
        <v>550</v>
      </c>
      <c r="AA284" s="257" t="s">
        <v>550</v>
      </c>
      <c r="AB284" s="257" t="s">
        <v>550</v>
      </c>
      <c r="AC284" s="257" t="s">
        <v>550</v>
      </c>
      <c r="AD284" s="255" t="s">
        <v>550</v>
      </c>
      <c r="AE284" s="257" t="s">
        <v>550</v>
      </c>
      <c r="AF284" s="255" t="s">
        <v>550</v>
      </c>
      <c r="AG284" s="253"/>
      <c r="AH284" s="258" t="s">
        <v>550</v>
      </c>
      <c r="AI284" s="258" t="s">
        <v>550</v>
      </c>
    </row>
    <row r="285" spans="1:35">
      <c r="A285" s="237">
        <v>190</v>
      </c>
      <c r="B285" s="245" t="s">
        <v>146</v>
      </c>
      <c r="C285" s="239" t="s">
        <v>1391</v>
      </c>
      <c r="D285" s="240"/>
      <c r="E285" s="275">
        <v>354.48599999999999</v>
      </c>
      <c r="F285" s="261">
        <v>5.4999999999999997E-3</v>
      </c>
      <c r="G285" s="261" t="s">
        <v>1532</v>
      </c>
      <c r="H285" s="276">
        <v>2.85148E-6</v>
      </c>
      <c r="I285" s="261">
        <v>10</v>
      </c>
      <c r="J285" s="245">
        <v>2.36</v>
      </c>
      <c r="K285" s="243">
        <v>20</v>
      </c>
      <c r="L285" s="276">
        <v>4.9999999999999998E-7</v>
      </c>
      <c r="M285" s="242">
        <v>6.02</v>
      </c>
      <c r="N285" s="242">
        <f>10^M285</f>
        <v>1047128.5480509007</v>
      </c>
      <c r="O285" s="242">
        <v>5.41</v>
      </c>
      <c r="P285" s="242">
        <f>10^O285</f>
        <v>257039.57827688678</v>
      </c>
      <c r="Q285" s="245" t="s">
        <v>550</v>
      </c>
      <c r="R285" s="245" t="s">
        <v>550</v>
      </c>
      <c r="S285" s="281"/>
      <c r="T285" s="245">
        <v>5.0000000000000001E-4</v>
      </c>
      <c r="U285" s="245"/>
      <c r="V285" s="245">
        <f>0.00001/0.34</f>
        <v>2.9411764705882354E-5</v>
      </c>
      <c r="W285" s="245">
        <f>0.00001/0.097</f>
        <v>1.0309278350515464E-4</v>
      </c>
      <c r="X285" s="247"/>
      <c r="Y285" s="242"/>
      <c r="Z285" s="242"/>
      <c r="AA285" s="242"/>
      <c r="AB285" s="242"/>
      <c r="AC285" s="245"/>
      <c r="AD285" s="242"/>
      <c r="AE285" s="242"/>
      <c r="AF285" s="242"/>
      <c r="AG285" s="240"/>
      <c r="AH285" s="248"/>
      <c r="AI285" s="248"/>
    </row>
    <row r="286" spans="1:35" ht="242.25">
      <c r="A286" s="237"/>
      <c r="B286" s="249"/>
      <c r="C286" s="239"/>
      <c r="D286" s="240"/>
      <c r="E286" s="250" t="s">
        <v>1023</v>
      </c>
      <c r="F286" s="249" t="s">
        <v>1382</v>
      </c>
      <c r="G286" s="251"/>
      <c r="H286" s="249" t="s">
        <v>1392</v>
      </c>
      <c r="I286" s="251"/>
      <c r="J286" s="244" t="s">
        <v>686</v>
      </c>
      <c r="K286" s="251"/>
      <c r="L286" s="254" t="s">
        <v>690</v>
      </c>
      <c r="M286" s="249" t="s">
        <v>1393</v>
      </c>
      <c r="N286" s="242"/>
      <c r="O286" s="249" t="s">
        <v>1394</v>
      </c>
      <c r="P286" s="242"/>
      <c r="Q286" s="265" t="s">
        <v>1357</v>
      </c>
      <c r="R286" s="265" t="s">
        <v>1357</v>
      </c>
      <c r="S286" s="281"/>
      <c r="T286" s="249" t="s">
        <v>1395</v>
      </c>
      <c r="U286" s="256"/>
      <c r="V286" s="249" t="s">
        <v>1396</v>
      </c>
      <c r="W286" s="249" t="s">
        <v>1395</v>
      </c>
      <c r="X286" s="253"/>
      <c r="Y286" s="255" t="s">
        <v>550</v>
      </c>
      <c r="Z286" s="255" t="s">
        <v>550</v>
      </c>
      <c r="AA286" s="257" t="s">
        <v>550</v>
      </c>
      <c r="AB286" s="257" t="s">
        <v>550</v>
      </c>
      <c r="AC286" s="257" t="s">
        <v>550</v>
      </c>
      <c r="AD286" s="255" t="s">
        <v>550</v>
      </c>
      <c r="AE286" s="257" t="s">
        <v>550</v>
      </c>
      <c r="AF286" s="255" t="s">
        <v>550</v>
      </c>
      <c r="AG286" s="253"/>
      <c r="AH286" s="258" t="s">
        <v>550</v>
      </c>
      <c r="AI286" s="258" t="s">
        <v>550</v>
      </c>
    </row>
    <row r="287" spans="1:35">
      <c r="A287" s="237">
        <v>191</v>
      </c>
      <c r="B287" s="238" t="s">
        <v>147</v>
      </c>
      <c r="C287" s="239" t="s">
        <v>1397</v>
      </c>
      <c r="D287" s="240"/>
      <c r="E287" s="241">
        <v>290.83</v>
      </c>
      <c r="F287" s="245">
        <v>0.7</v>
      </c>
      <c r="G287" s="243">
        <v>20</v>
      </c>
      <c r="H287" s="245">
        <v>8.3990000000000004E-6</v>
      </c>
      <c r="I287" s="243">
        <v>10</v>
      </c>
      <c r="J287" s="245">
        <v>9.1999999999999998E-3</v>
      </c>
      <c r="K287" s="243">
        <v>10</v>
      </c>
      <c r="L287" s="245">
        <v>4.9999999999999998E-7</v>
      </c>
      <c r="M287" s="242">
        <v>3.8653967022298263</v>
      </c>
      <c r="N287" s="242">
        <f>10^M287</f>
        <v>7334.9423066792206</v>
      </c>
      <c r="O287" s="242">
        <v>3.7631183138816127</v>
      </c>
      <c r="P287" s="242">
        <f>10^O287</f>
        <v>5795.8657040402495</v>
      </c>
      <c r="Q287" s="238" t="s">
        <v>550</v>
      </c>
      <c r="R287" s="238" t="s">
        <v>550</v>
      </c>
      <c r="S287" s="280"/>
      <c r="T287" s="245">
        <v>2.0000000000000002E-5</v>
      </c>
      <c r="U287" s="245"/>
      <c r="V287" s="238">
        <f>0.00001/1.8</f>
        <v>5.5555555555555558E-6</v>
      </c>
      <c r="W287" s="238">
        <f>0.00001/0.53</f>
        <v>1.8867924528301888E-5</v>
      </c>
      <c r="X287" s="240"/>
      <c r="Y287" s="242"/>
      <c r="Z287" s="242"/>
      <c r="AA287" s="242"/>
      <c r="AB287" s="242"/>
      <c r="AC287" s="245"/>
      <c r="AD287" s="242"/>
      <c r="AE287" s="242"/>
      <c r="AF287" s="242"/>
      <c r="AG287" s="240"/>
      <c r="AH287" s="248"/>
      <c r="AI287" s="248"/>
    </row>
    <row r="288" spans="1:35" ht="242.25">
      <c r="A288" s="237"/>
      <c r="B288" s="249"/>
      <c r="C288" s="239"/>
      <c r="D288" s="240"/>
      <c r="E288" s="250" t="s">
        <v>815</v>
      </c>
      <c r="F288" s="249" t="s">
        <v>1398</v>
      </c>
      <c r="G288" s="251"/>
      <c r="H288" s="249" t="s">
        <v>1399</v>
      </c>
      <c r="I288" s="251"/>
      <c r="J288" s="244" t="s">
        <v>686</v>
      </c>
      <c r="K288" s="251"/>
      <c r="L288" s="254" t="s">
        <v>690</v>
      </c>
      <c r="M288" s="249" t="s">
        <v>1400</v>
      </c>
      <c r="N288" s="242"/>
      <c r="O288" s="249" t="s">
        <v>1390</v>
      </c>
      <c r="P288" s="242"/>
      <c r="Q288" s="265" t="s">
        <v>1357</v>
      </c>
      <c r="R288" s="265" t="s">
        <v>1357</v>
      </c>
      <c r="S288" s="268"/>
      <c r="T288" s="249" t="s">
        <v>1045</v>
      </c>
      <c r="U288" s="249"/>
      <c r="V288" s="249" t="s">
        <v>1401</v>
      </c>
      <c r="W288" s="249" t="s">
        <v>1402</v>
      </c>
      <c r="X288" s="253"/>
      <c r="Y288" s="255" t="s">
        <v>550</v>
      </c>
      <c r="Z288" s="255" t="s">
        <v>550</v>
      </c>
      <c r="AA288" s="257" t="s">
        <v>550</v>
      </c>
      <c r="AB288" s="257" t="s">
        <v>550</v>
      </c>
      <c r="AC288" s="257" t="s">
        <v>550</v>
      </c>
      <c r="AD288" s="255" t="s">
        <v>550</v>
      </c>
      <c r="AE288" s="257" t="s">
        <v>550</v>
      </c>
      <c r="AF288" s="255" t="s">
        <v>550</v>
      </c>
      <c r="AG288" s="253"/>
      <c r="AH288" s="258" t="s">
        <v>550</v>
      </c>
      <c r="AI288" s="258" t="s">
        <v>550</v>
      </c>
    </row>
    <row r="289" spans="1:35">
      <c r="A289" s="237">
        <v>192</v>
      </c>
      <c r="B289" s="288" t="s">
        <v>182</v>
      </c>
      <c r="C289" s="239" t="s">
        <v>1283</v>
      </c>
      <c r="D289" s="240"/>
      <c r="E289" s="241">
        <v>221.03800000000001</v>
      </c>
      <c r="F289" s="245">
        <v>633</v>
      </c>
      <c r="G289" s="243">
        <v>15</v>
      </c>
      <c r="H289" s="276">
        <v>1.33E-5</v>
      </c>
      <c r="I289" s="261" t="s">
        <v>1532</v>
      </c>
      <c r="J289" s="276">
        <v>0.85299999999999998</v>
      </c>
      <c r="K289" s="261">
        <v>20</v>
      </c>
      <c r="L289" s="276"/>
      <c r="M289" s="260">
        <v>2.315841404310881</v>
      </c>
      <c r="N289" s="242">
        <f>10^M289</f>
        <v>206.93855124458395</v>
      </c>
      <c r="O289" s="260">
        <v>1.5180737900687979</v>
      </c>
      <c r="P289" s="242">
        <f>10^O289</f>
        <v>32.966572023354018</v>
      </c>
      <c r="Q289" s="235">
        <v>2.8</v>
      </c>
      <c r="R289" s="235">
        <v>1</v>
      </c>
      <c r="S289" s="280"/>
      <c r="T289" s="245">
        <v>0.01</v>
      </c>
      <c r="U289" s="245"/>
      <c r="V289" s="238"/>
      <c r="W289" s="238"/>
      <c r="X289" s="240"/>
      <c r="Y289" s="242"/>
      <c r="Z289" s="242"/>
      <c r="AA289" s="242"/>
      <c r="AB289" s="242"/>
      <c r="AC289" s="245"/>
      <c r="AD289" s="242"/>
      <c r="AE289" s="242"/>
      <c r="AF289" s="242"/>
      <c r="AG289" s="240"/>
      <c r="AH289" s="248"/>
      <c r="AI289" s="248"/>
    </row>
    <row r="290" spans="1:35" ht="127.5">
      <c r="A290" s="237"/>
      <c r="B290" s="249"/>
      <c r="C290" s="239"/>
      <c r="D290" s="240"/>
      <c r="E290" s="250" t="s">
        <v>815</v>
      </c>
      <c r="F290" s="254" t="s">
        <v>1403</v>
      </c>
      <c r="G290" s="289"/>
      <c r="H290" s="249" t="s">
        <v>1404</v>
      </c>
      <c r="I290" s="251"/>
      <c r="J290" s="263" t="s">
        <v>686</v>
      </c>
      <c r="K290" s="251"/>
      <c r="L290" s="256"/>
      <c r="M290" s="249" t="s">
        <v>1405</v>
      </c>
      <c r="N290" s="242"/>
      <c r="O290" s="249" t="s">
        <v>1406</v>
      </c>
      <c r="P290" s="242"/>
      <c r="Q290" s="249" t="s">
        <v>1407</v>
      </c>
      <c r="R290" s="265" t="s">
        <v>1408</v>
      </c>
      <c r="S290" s="280"/>
      <c r="T290" s="249" t="s">
        <v>1395</v>
      </c>
      <c r="U290" s="249"/>
      <c r="V290" s="249"/>
      <c r="W290" s="249"/>
      <c r="X290" s="253"/>
      <c r="Y290" s="255" t="s">
        <v>550</v>
      </c>
      <c r="Z290" s="255" t="s">
        <v>550</v>
      </c>
      <c r="AA290" s="257" t="s">
        <v>550</v>
      </c>
      <c r="AB290" s="257" t="s">
        <v>550</v>
      </c>
      <c r="AC290" s="257" t="s">
        <v>550</v>
      </c>
      <c r="AD290" s="255" t="s">
        <v>550</v>
      </c>
      <c r="AE290" s="257" t="s">
        <v>550</v>
      </c>
      <c r="AF290" s="255" t="s">
        <v>550</v>
      </c>
      <c r="AG290" s="253"/>
      <c r="AH290" s="258" t="s">
        <v>550</v>
      </c>
      <c r="AI290" s="258" t="s">
        <v>550</v>
      </c>
    </row>
    <row r="291" spans="1:35">
      <c r="A291" s="237">
        <v>193</v>
      </c>
      <c r="B291" s="288" t="s">
        <v>176</v>
      </c>
      <c r="C291" s="239" t="s">
        <v>1409</v>
      </c>
      <c r="D291" s="240"/>
      <c r="E291" s="241">
        <v>235.06399999999999</v>
      </c>
      <c r="F291" s="245">
        <v>350</v>
      </c>
      <c r="G291" s="243">
        <v>20</v>
      </c>
      <c r="H291" s="276">
        <v>4.4999999999999999E-4</v>
      </c>
      <c r="I291" s="261">
        <v>20</v>
      </c>
      <c r="J291" s="276">
        <v>8.7949999999999996E-6</v>
      </c>
      <c r="K291" s="261">
        <v>20</v>
      </c>
      <c r="L291" s="276"/>
      <c r="M291" s="260">
        <v>2.7508920617152905</v>
      </c>
      <c r="N291" s="242">
        <f>10^M291</f>
        <v>563.49758837248964</v>
      </c>
      <c r="O291" s="260">
        <v>2.04</v>
      </c>
      <c r="P291" s="242">
        <f>10^O291</f>
        <v>109.64781961431861</v>
      </c>
      <c r="Q291" s="235">
        <v>3</v>
      </c>
      <c r="R291" s="235">
        <v>1</v>
      </c>
      <c r="S291" s="280"/>
      <c r="T291" s="245">
        <v>3.6400000000000002E-2</v>
      </c>
      <c r="U291" s="245"/>
      <c r="V291" s="238"/>
      <c r="W291" s="238"/>
      <c r="X291" s="240"/>
      <c r="Y291" s="242"/>
      <c r="Z291" s="242"/>
      <c r="AA291" s="242"/>
      <c r="AB291" s="242"/>
      <c r="AC291" s="245"/>
      <c r="AD291" s="242"/>
      <c r="AE291" s="242"/>
      <c r="AF291" s="242"/>
      <c r="AG291" s="240"/>
      <c r="AH291" s="248"/>
      <c r="AI291" s="248"/>
    </row>
    <row r="292" spans="1:35" ht="114.75">
      <c r="A292" s="237"/>
      <c r="B292" s="249"/>
      <c r="C292" s="239"/>
      <c r="D292" s="240"/>
      <c r="E292" s="250" t="s">
        <v>815</v>
      </c>
      <c r="F292" s="254" t="s">
        <v>1410</v>
      </c>
      <c r="G292" s="289"/>
      <c r="H292" s="249" t="s">
        <v>1411</v>
      </c>
      <c r="I292" s="251"/>
      <c r="J292" s="263" t="s">
        <v>686</v>
      </c>
      <c r="K292" s="251"/>
      <c r="L292" s="256"/>
      <c r="M292" s="249" t="s">
        <v>1412</v>
      </c>
      <c r="N292" s="242"/>
      <c r="O292" s="249" t="s">
        <v>1390</v>
      </c>
      <c r="P292" s="242"/>
      <c r="Q292" s="249" t="s">
        <v>1413</v>
      </c>
      <c r="R292" s="265" t="s">
        <v>1408</v>
      </c>
      <c r="S292" s="280"/>
      <c r="T292" s="249" t="s">
        <v>1414</v>
      </c>
      <c r="U292" s="249"/>
      <c r="V292" s="249"/>
      <c r="W292" s="249"/>
      <c r="X292" s="253"/>
      <c r="Y292" s="255" t="s">
        <v>550</v>
      </c>
      <c r="Z292" s="255" t="s">
        <v>550</v>
      </c>
      <c r="AA292" s="257" t="s">
        <v>550</v>
      </c>
      <c r="AB292" s="257" t="s">
        <v>550</v>
      </c>
      <c r="AC292" s="257" t="s">
        <v>550</v>
      </c>
      <c r="AD292" s="255" t="s">
        <v>550</v>
      </c>
      <c r="AE292" s="257" t="s">
        <v>550</v>
      </c>
      <c r="AF292" s="255" t="s">
        <v>550</v>
      </c>
      <c r="AG292" s="253"/>
      <c r="AH292" s="258" t="s">
        <v>550</v>
      </c>
      <c r="AI292" s="258" t="s">
        <v>550</v>
      </c>
    </row>
    <row r="293" spans="1:35">
      <c r="A293" s="237">
        <v>194</v>
      </c>
      <c r="B293" s="288" t="s">
        <v>183</v>
      </c>
      <c r="C293" s="239" t="s">
        <v>1415</v>
      </c>
      <c r="D293" s="240"/>
      <c r="E293" s="241">
        <v>200.61799999999999</v>
      </c>
      <c r="F293" s="245">
        <v>630</v>
      </c>
      <c r="G293" s="243">
        <v>20</v>
      </c>
      <c r="H293" s="276">
        <v>2.0000000000000001E-4</v>
      </c>
      <c r="I293" s="261">
        <v>20</v>
      </c>
      <c r="J293" s="276">
        <v>2.5000000000000001E-4</v>
      </c>
      <c r="K293" s="261">
        <v>25</v>
      </c>
      <c r="L293" s="276"/>
      <c r="M293" s="235">
        <v>2.4900000000000002</v>
      </c>
      <c r="N293" s="242">
        <f>10^M293</f>
        <v>309.02954325135937</v>
      </c>
      <c r="O293" s="260">
        <v>2.1854065559144118</v>
      </c>
      <c r="P293" s="242">
        <f>10^O293</f>
        <v>153.25214290416332</v>
      </c>
      <c r="Q293" s="235">
        <v>3.1</v>
      </c>
      <c r="R293" s="235">
        <v>1</v>
      </c>
      <c r="S293" s="280"/>
      <c r="T293" s="245">
        <v>5.0000000000000001E-4</v>
      </c>
      <c r="U293" s="245"/>
      <c r="V293" s="238"/>
      <c r="W293" s="238"/>
      <c r="X293" s="240"/>
      <c r="Y293" s="242"/>
      <c r="Z293" s="242"/>
      <c r="AA293" s="242"/>
      <c r="AB293" s="242"/>
      <c r="AC293" s="245"/>
      <c r="AD293" s="242"/>
      <c r="AE293" s="242"/>
      <c r="AF293" s="242"/>
      <c r="AG293" s="240"/>
      <c r="AH293" s="248"/>
      <c r="AI293" s="248"/>
    </row>
    <row r="294" spans="1:35" ht="127.5">
      <c r="A294" s="237"/>
      <c r="B294" s="249"/>
      <c r="C294" s="239"/>
      <c r="D294" s="240"/>
      <c r="E294" s="250" t="s">
        <v>1416</v>
      </c>
      <c r="F294" s="254" t="s">
        <v>1417</v>
      </c>
      <c r="G294" s="289"/>
      <c r="H294" s="249" t="s">
        <v>1418</v>
      </c>
      <c r="I294" s="251"/>
      <c r="J294" s="263" t="s">
        <v>686</v>
      </c>
      <c r="K294" s="251"/>
      <c r="L294" s="251"/>
      <c r="M294" s="249" t="s">
        <v>1419</v>
      </c>
      <c r="N294" s="242"/>
      <c r="O294" s="249" t="s">
        <v>1400</v>
      </c>
      <c r="P294" s="242"/>
      <c r="Q294" s="249" t="s">
        <v>1420</v>
      </c>
      <c r="R294" s="265" t="s">
        <v>1421</v>
      </c>
      <c r="S294" s="280"/>
      <c r="T294" s="249" t="s">
        <v>1395</v>
      </c>
      <c r="U294" s="249"/>
      <c r="V294" s="249"/>
      <c r="W294" s="249"/>
      <c r="X294" s="253"/>
      <c r="Y294" s="255" t="s">
        <v>550</v>
      </c>
      <c r="Z294" s="255" t="s">
        <v>550</v>
      </c>
      <c r="AA294" s="257" t="s">
        <v>550</v>
      </c>
      <c r="AB294" s="257" t="s">
        <v>550</v>
      </c>
      <c r="AC294" s="257" t="s">
        <v>550</v>
      </c>
      <c r="AD294" s="255" t="s">
        <v>550</v>
      </c>
      <c r="AE294" s="257" t="s">
        <v>550</v>
      </c>
      <c r="AF294" s="255" t="s">
        <v>550</v>
      </c>
      <c r="AG294" s="253"/>
      <c r="AH294" s="258" t="s">
        <v>550</v>
      </c>
      <c r="AI294" s="258" t="s">
        <v>550</v>
      </c>
    </row>
    <row r="295" spans="1:35">
      <c r="A295" s="237">
        <v>195</v>
      </c>
      <c r="B295" s="288" t="s">
        <v>184</v>
      </c>
      <c r="C295" s="239" t="s">
        <v>1422</v>
      </c>
      <c r="D295" s="240"/>
      <c r="E295" s="241">
        <v>214.64500000000001</v>
      </c>
      <c r="F295" s="245">
        <v>620</v>
      </c>
      <c r="G295" s="243">
        <v>20</v>
      </c>
      <c r="H295" s="276">
        <v>3.1E-4</v>
      </c>
      <c r="I295" s="261">
        <v>20</v>
      </c>
      <c r="J295" s="276">
        <v>1.11E-5</v>
      </c>
      <c r="K295" s="261">
        <v>25</v>
      </c>
      <c r="L295" s="276"/>
      <c r="M295" s="235">
        <v>3.13</v>
      </c>
      <c r="N295" s="242">
        <f>10^M295</f>
        <v>1348.9628825916541</v>
      </c>
      <c r="O295" s="260">
        <v>1.5277644026989461</v>
      </c>
      <c r="P295" s="242">
        <f>10^O295</f>
        <v>33.710438570477983</v>
      </c>
      <c r="Q295" s="235">
        <v>3.11</v>
      </c>
      <c r="R295" s="235">
        <v>1</v>
      </c>
      <c r="S295" s="280"/>
      <c r="T295" s="276">
        <v>1E-3</v>
      </c>
      <c r="U295" s="238"/>
      <c r="V295" s="238"/>
      <c r="W295" s="238"/>
      <c r="X295" s="240"/>
      <c r="Y295" s="242"/>
      <c r="Z295" s="242"/>
      <c r="AA295" s="242"/>
      <c r="AB295" s="242"/>
      <c r="AC295" s="245"/>
      <c r="AD295" s="242"/>
      <c r="AE295" s="242"/>
      <c r="AF295" s="242"/>
      <c r="AG295" s="240"/>
      <c r="AH295" s="248"/>
      <c r="AI295" s="248"/>
    </row>
    <row r="296" spans="1:35" ht="153">
      <c r="A296" s="237"/>
      <c r="B296" s="249"/>
      <c r="C296" s="239"/>
      <c r="D296" s="240"/>
      <c r="E296" s="250" t="s">
        <v>1416</v>
      </c>
      <c r="F296" s="254" t="s">
        <v>1423</v>
      </c>
      <c r="G296" s="289"/>
      <c r="H296" s="249" t="s">
        <v>1424</v>
      </c>
      <c r="I296" s="251"/>
      <c r="J296" s="263" t="s">
        <v>686</v>
      </c>
      <c r="K296" s="251"/>
      <c r="L296" s="251"/>
      <c r="M296" s="249" t="s">
        <v>1425</v>
      </c>
      <c r="N296" s="242"/>
      <c r="O296" s="249" t="s">
        <v>1426</v>
      </c>
      <c r="P296" s="242"/>
      <c r="Q296" s="249" t="s">
        <v>1427</v>
      </c>
      <c r="R296" s="265" t="s">
        <v>1428</v>
      </c>
      <c r="S296" s="280"/>
      <c r="T296" s="249" t="s">
        <v>1429</v>
      </c>
      <c r="U296" s="249"/>
      <c r="V296" s="249"/>
      <c r="W296" s="238"/>
      <c r="X296" s="240"/>
      <c r="Y296" s="255" t="s">
        <v>550</v>
      </c>
      <c r="Z296" s="255" t="s">
        <v>550</v>
      </c>
      <c r="AA296" s="257" t="s">
        <v>550</v>
      </c>
      <c r="AB296" s="257" t="s">
        <v>550</v>
      </c>
      <c r="AC296" s="257" t="s">
        <v>550</v>
      </c>
      <c r="AD296" s="255" t="s">
        <v>550</v>
      </c>
      <c r="AE296" s="257" t="s">
        <v>550</v>
      </c>
      <c r="AF296" s="255" t="s">
        <v>550</v>
      </c>
      <c r="AG296" s="253"/>
      <c r="AH296" s="258" t="s">
        <v>550</v>
      </c>
      <c r="AI296" s="258" t="s">
        <v>550</v>
      </c>
    </row>
    <row r="297" spans="1:35">
      <c r="A297" s="237">
        <v>196</v>
      </c>
      <c r="B297" s="288" t="s">
        <v>149</v>
      </c>
      <c r="C297" s="239" t="s">
        <v>1430</v>
      </c>
      <c r="D297" s="240"/>
      <c r="E297" s="241">
        <v>304.34500000000003</v>
      </c>
      <c r="F297" s="245">
        <v>40</v>
      </c>
      <c r="G297" s="243">
        <v>20</v>
      </c>
      <c r="H297" s="276">
        <v>1.9E-2</v>
      </c>
      <c r="I297" s="261">
        <v>20</v>
      </c>
      <c r="J297" s="276">
        <v>9.1280000000000007E-3</v>
      </c>
      <c r="K297" s="261">
        <v>10</v>
      </c>
      <c r="L297" s="276"/>
      <c r="M297" s="260">
        <v>3.3164141063133727</v>
      </c>
      <c r="N297" s="242">
        <f>10^M297</f>
        <v>2072.1162010451199</v>
      </c>
      <c r="O297" s="260">
        <v>2.7135185539802746</v>
      </c>
      <c r="P297" s="242">
        <f>10^O297</f>
        <v>517.03334625665605</v>
      </c>
      <c r="Q297" s="235">
        <v>2.6</v>
      </c>
      <c r="R297" s="235">
        <v>1</v>
      </c>
      <c r="S297" s="280"/>
      <c r="T297" s="276">
        <v>2.0000000000000001E-4</v>
      </c>
      <c r="U297" s="238">
        <v>0.01</v>
      </c>
      <c r="V297" s="238"/>
      <c r="W297" s="238"/>
      <c r="X297" s="240"/>
      <c r="Y297" s="242"/>
      <c r="Z297" s="242"/>
      <c r="AA297" s="242"/>
      <c r="AB297" s="242"/>
      <c r="AC297" s="245"/>
      <c r="AD297" s="242"/>
      <c r="AE297" s="242"/>
      <c r="AF297" s="242"/>
      <c r="AG297" s="240"/>
      <c r="AH297" s="248"/>
      <c r="AI297" s="248"/>
    </row>
    <row r="298" spans="1:35" ht="114.75">
      <c r="A298" s="237"/>
      <c r="B298" s="249"/>
      <c r="C298" s="239"/>
      <c r="D298" s="240"/>
      <c r="E298" s="250" t="s">
        <v>815</v>
      </c>
      <c r="F298" s="254" t="s">
        <v>1431</v>
      </c>
      <c r="G298" s="289"/>
      <c r="H298" s="249" t="s">
        <v>1432</v>
      </c>
      <c r="I298" s="251"/>
      <c r="J298" s="263" t="s">
        <v>686</v>
      </c>
      <c r="K298" s="251"/>
      <c r="L298" s="256"/>
      <c r="M298" s="249" t="s">
        <v>1433</v>
      </c>
      <c r="N298" s="242"/>
      <c r="O298" s="249" t="s">
        <v>1434</v>
      </c>
      <c r="P298" s="242"/>
      <c r="Q298" s="255" t="s">
        <v>1435</v>
      </c>
      <c r="R298" s="254" t="s">
        <v>1408</v>
      </c>
      <c r="S298" s="280"/>
      <c r="T298" s="249" t="s">
        <v>1436</v>
      </c>
      <c r="U298" s="249" t="s">
        <v>1437</v>
      </c>
      <c r="V298" s="249"/>
      <c r="W298" s="238"/>
      <c r="X298" s="240"/>
      <c r="Y298" s="255" t="s">
        <v>550</v>
      </c>
      <c r="Z298" s="255" t="s">
        <v>550</v>
      </c>
      <c r="AA298" s="257" t="s">
        <v>550</v>
      </c>
      <c r="AB298" s="257" t="s">
        <v>550</v>
      </c>
      <c r="AC298" s="257" t="s">
        <v>550</v>
      </c>
      <c r="AD298" s="255" t="s">
        <v>550</v>
      </c>
      <c r="AE298" s="257" t="s">
        <v>550</v>
      </c>
      <c r="AF298" s="255" t="s">
        <v>550</v>
      </c>
      <c r="AG298" s="253"/>
      <c r="AH298" s="258" t="s">
        <v>550</v>
      </c>
      <c r="AI298" s="258" t="s">
        <v>550</v>
      </c>
    </row>
    <row r="299" spans="1:35" ht="15.75">
      <c r="A299" s="237">
        <v>197</v>
      </c>
      <c r="B299" s="238" t="s">
        <v>424</v>
      </c>
      <c r="C299" s="239" t="s">
        <v>1144</v>
      </c>
      <c r="D299" s="240"/>
      <c r="E299" s="475">
        <v>86.174999999999997</v>
      </c>
      <c r="F299" s="491">
        <v>9.8000000000000007</v>
      </c>
      <c r="G299" s="486">
        <v>25</v>
      </c>
      <c r="H299" s="479">
        <v>5126.2525697028404</v>
      </c>
      <c r="I299" s="477">
        <v>10</v>
      </c>
      <c r="J299" s="479" t="s">
        <v>550</v>
      </c>
      <c r="K299" s="477" t="s">
        <v>550</v>
      </c>
      <c r="L299" s="479">
        <v>3.9999999999999998E-6</v>
      </c>
      <c r="M299" s="476">
        <v>4</v>
      </c>
      <c r="N299" s="476">
        <f>10^M299</f>
        <v>10000</v>
      </c>
      <c r="O299" s="476">
        <v>3.5327543789925002</v>
      </c>
      <c r="P299" s="476">
        <f>10^O299</f>
        <v>3410.0000000000196</v>
      </c>
      <c r="Q299" s="474" t="s">
        <v>550</v>
      </c>
      <c r="R299" s="474" t="s">
        <v>550</v>
      </c>
      <c r="S299" s="280"/>
      <c r="T299" s="245">
        <v>0.1</v>
      </c>
      <c r="U299" s="238">
        <v>0.7</v>
      </c>
      <c r="V299" s="245"/>
      <c r="W299" s="245"/>
      <c r="X299" s="247"/>
      <c r="Y299" s="242"/>
      <c r="Z299" s="242"/>
      <c r="AA299" s="245"/>
      <c r="AB299" s="242"/>
      <c r="AC299" s="245"/>
      <c r="AD299" s="242"/>
      <c r="AE299" s="242"/>
      <c r="AF299" s="245"/>
      <c r="AG299" s="240"/>
      <c r="AH299" s="248"/>
      <c r="AI299" s="248"/>
    </row>
    <row r="300" spans="1:35" ht="242.25">
      <c r="A300" s="237"/>
      <c r="B300" s="249"/>
      <c r="C300" s="239"/>
      <c r="D300" s="240"/>
      <c r="E300" s="481" t="s">
        <v>746</v>
      </c>
      <c r="F300" s="480" t="s">
        <v>1145</v>
      </c>
      <c r="G300" s="482"/>
      <c r="H300" s="480" t="s">
        <v>1146</v>
      </c>
      <c r="I300" s="482"/>
      <c r="J300" s="478"/>
      <c r="K300" s="482"/>
      <c r="L300" s="482" t="s">
        <v>690</v>
      </c>
      <c r="M300" s="480" t="s">
        <v>1147</v>
      </c>
      <c r="N300" s="476"/>
      <c r="O300" s="480" t="s">
        <v>1148</v>
      </c>
      <c r="P300" s="476"/>
      <c r="Q300" s="480" t="s">
        <v>1149</v>
      </c>
      <c r="R300" s="480" t="s">
        <v>1149</v>
      </c>
      <c r="S300" s="281"/>
      <c r="T300" s="249" t="s">
        <v>1150</v>
      </c>
      <c r="U300" s="249" t="s">
        <v>1151</v>
      </c>
      <c r="V300" s="249"/>
      <c r="W300" s="249"/>
      <c r="X300" s="253"/>
      <c r="Y300" s="254"/>
      <c r="Z300" s="255"/>
      <c r="AA300" s="256"/>
      <c r="AB300" s="257"/>
      <c r="AC300" s="256"/>
      <c r="AD300" s="255"/>
      <c r="AE300" s="257"/>
      <c r="AF300" s="256"/>
      <c r="AG300" s="253"/>
      <c r="AH300" s="258"/>
      <c r="AI300" s="258"/>
    </row>
    <row r="301" spans="1:35" ht="15.75">
      <c r="A301" s="237">
        <v>198</v>
      </c>
      <c r="B301" s="238" t="s">
        <v>194</v>
      </c>
      <c r="C301" s="239" t="s">
        <v>1103</v>
      </c>
      <c r="D301" s="240"/>
      <c r="E301" s="241">
        <v>182.13399999999999</v>
      </c>
      <c r="F301" s="235">
        <v>129</v>
      </c>
      <c r="G301" s="261">
        <v>12.4</v>
      </c>
      <c r="H301" s="245">
        <v>3.8E-3</v>
      </c>
      <c r="I301" s="243">
        <v>10</v>
      </c>
      <c r="J301" s="245">
        <v>8.7800000000000003E-2</v>
      </c>
      <c r="K301" s="243">
        <v>25</v>
      </c>
      <c r="L301" s="245"/>
      <c r="M301" s="242">
        <v>1.9948324971605882</v>
      </c>
      <c r="N301" s="242">
        <f>10^M301</f>
        <v>98.817189358490253</v>
      </c>
      <c r="O301" s="242">
        <v>1.68</v>
      </c>
      <c r="P301" s="242">
        <f>10^O301</f>
        <v>47.863009232263856</v>
      </c>
      <c r="Q301" s="238">
        <v>-13.53</v>
      </c>
      <c r="R301" s="238">
        <v>1</v>
      </c>
      <c r="S301" s="277"/>
      <c r="T301" s="245">
        <v>1E-3</v>
      </c>
      <c r="U301" s="238"/>
      <c r="V301" s="245">
        <f>0.00001/0.31</f>
        <v>3.2258064516129034E-5</v>
      </c>
      <c r="W301" s="245">
        <f>0.00001/0.089</f>
        <v>1.1235955056179777E-4</v>
      </c>
      <c r="X301" s="247"/>
      <c r="Y301" s="242"/>
      <c r="Z301" s="242"/>
      <c r="AA301" s="245"/>
      <c r="AB301" s="242"/>
      <c r="AC301" s="245"/>
      <c r="AD301" s="242"/>
      <c r="AE301" s="242"/>
      <c r="AF301" s="245"/>
      <c r="AG301" s="240"/>
      <c r="AH301" s="248"/>
      <c r="AI301" s="248"/>
    </row>
    <row r="302" spans="1:35" ht="140.25">
      <c r="A302" s="237"/>
      <c r="B302" s="249"/>
      <c r="C302" s="239"/>
      <c r="D302" s="240"/>
      <c r="E302" s="250" t="s">
        <v>746</v>
      </c>
      <c r="F302" s="249" t="s">
        <v>1104</v>
      </c>
      <c r="G302" s="251"/>
      <c r="H302" s="249" t="s">
        <v>1105</v>
      </c>
      <c r="I302" s="251"/>
      <c r="J302" s="244" t="s">
        <v>686</v>
      </c>
      <c r="K302" s="251"/>
      <c r="L302" s="249" t="s">
        <v>761</v>
      </c>
      <c r="M302" s="251" t="s">
        <v>1106</v>
      </c>
      <c r="N302" s="242"/>
      <c r="O302" s="251" t="s">
        <v>1107</v>
      </c>
      <c r="P302" s="242"/>
      <c r="Q302" s="265" t="s">
        <v>1108</v>
      </c>
      <c r="R302" s="249"/>
      <c r="S302" s="277"/>
      <c r="T302" s="249" t="s">
        <v>708</v>
      </c>
      <c r="U302" s="249"/>
      <c r="V302" s="249" t="s">
        <v>1109</v>
      </c>
      <c r="W302" s="249" t="s">
        <v>1110</v>
      </c>
      <c r="X302" s="253"/>
      <c r="Y302" s="254"/>
      <c r="Z302" s="255"/>
      <c r="AA302" s="256"/>
      <c r="AB302" s="257"/>
      <c r="AC302" s="256"/>
      <c r="AD302" s="255"/>
      <c r="AE302" s="257"/>
      <c r="AF302" s="256"/>
      <c r="AG302" s="253"/>
      <c r="AH302" s="258"/>
      <c r="AI302" s="258"/>
    </row>
    <row r="303" spans="1:35" ht="15.75">
      <c r="A303" s="237">
        <v>199</v>
      </c>
      <c r="B303" s="238" t="s">
        <v>195</v>
      </c>
      <c r="C303" s="239" t="s">
        <v>1103</v>
      </c>
      <c r="D303" s="240"/>
      <c r="E303" s="241">
        <v>182.13399999999999</v>
      </c>
      <c r="F303" s="235">
        <v>180</v>
      </c>
      <c r="G303" s="261">
        <v>20</v>
      </c>
      <c r="H303" s="245">
        <v>1.0699999999999999E-2</v>
      </c>
      <c r="I303" s="243">
        <v>10</v>
      </c>
      <c r="J303" s="245">
        <v>2.1999999999999999E-2</v>
      </c>
      <c r="K303" s="243">
        <v>25</v>
      </c>
      <c r="L303" s="245"/>
      <c r="M303" s="242">
        <v>1.9939518851019078</v>
      </c>
      <c r="N303" s="242">
        <f>10^M303</f>
        <v>98.617022311397236</v>
      </c>
      <c r="O303" s="242">
        <v>1.798332561013118</v>
      </c>
      <c r="P303" s="242">
        <f>10^O303</f>
        <v>62.853947870652483</v>
      </c>
      <c r="Q303" s="238" t="s">
        <v>550</v>
      </c>
      <c r="R303" s="238" t="s">
        <v>550</v>
      </c>
      <c r="S303" s="280"/>
      <c r="T303" s="245">
        <v>4.0000000000000001E-3</v>
      </c>
      <c r="U303" s="238"/>
      <c r="V303" s="245"/>
      <c r="W303" s="245"/>
      <c r="X303" s="247"/>
      <c r="Y303" s="242"/>
      <c r="Z303" s="242"/>
      <c r="AA303" s="245"/>
      <c r="AB303" s="242"/>
      <c r="AC303" s="245"/>
      <c r="AD303" s="242"/>
      <c r="AE303" s="242"/>
      <c r="AF303" s="245"/>
      <c r="AG303" s="240"/>
      <c r="AH303" s="248"/>
      <c r="AI303" s="248"/>
    </row>
    <row r="304" spans="1:35" ht="140.25">
      <c r="A304" s="237"/>
      <c r="B304" s="249"/>
      <c r="C304" s="239"/>
      <c r="D304" s="240"/>
      <c r="E304" s="250" t="s">
        <v>746</v>
      </c>
      <c r="F304" s="249" t="s">
        <v>1111</v>
      </c>
      <c r="G304" s="251"/>
      <c r="H304" s="249" t="s">
        <v>1112</v>
      </c>
      <c r="I304" s="251"/>
      <c r="J304" s="244" t="s">
        <v>1113</v>
      </c>
      <c r="K304" s="251"/>
      <c r="L304" s="249" t="s">
        <v>761</v>
      </c>
      <c r="M304" s="251" t="s">
        <v>1114</v>
      </c>
      <c r="N304" s="242"/>
      <c r="O304" s="251" t="s">
        <v>1115</v>
      </c>
      <c r="P304" s="242"/>
      <c r="Q304" s="249"/>
      <c r="R304" s="249"/>
      <c r="S304" s="281"/>
      <c r="T304" s="249" t="s">
        <v>1116</v>
      </c>
      <c r="U304" s="249"/>
      <c r="V304" s="249"/>
      <c r="W304" s="249"/>
      <c r="X304" s="253"/>
      <c r="Y304" s="254"/>
      <c r="Z304" s="255"/>
      <c r="AA304" s="256"/>
      <c r="AB304" s="257"/>
      <c r="AC304" s="256"/>
      <c r="AD304" s="255"/>
      <c r="AE304" s="257"/>
      <c r="AF304" s="256"/>
      <c r="AG304" s="253"/>
      <c r="AH304" s="258"/>
      <c r="AI304" s="258"/>
    </row>
    <row r="305" spans="1:35" ht="15.75">
      <c r="A305" s="237">
        <v>200</v>
      </c>
      <c r="B305" s="238" t="s">
        <v>148</v>
      </c>
      <c r="C305" s="239" t="s">
        <v>1128</v>
      </c>
      <c r="D305" s="240"/>
      <c r="E305" s="241">
        <v>274.40499999999997</v>
      </c>
      <c r="F305" s="235">
        <v>25</v>
      </c>
      <c r="G305" s="261">
        <v>20</v>
      </c>
      <c r="H305" s="245">
        <v>7.9181268999999992E-3</v>
      </c>
      <c r="I305" s="243">
        <v>10</v>
      </c>
      <c r="J305" s="245">
        <v>0.10100000000000001</v>
      </c>
      <c r="K305" s="243">
        <v>10</v>
      </c>
      <c r="L305" s="245"/>
      <c r="M305" s="242">
        <v>3.8259440132255982</v>
      </c>
      <c r="N305" s="242">
        <f>10^M305</f>
        <v>6697.98257269023</v>
      </c>
      <c r="O305" s="242">
        <v>3.1609417742750403</v>
      </c>
      <c r="P305" s="242">
        <f>10^O305</f>
        <v>1448.5776301768315</v>
      </c>
      <c r="Q305" s="238" t="s">
        <v>550</v>
      </c>
      <c r="R305" s="238" t="s">
        <v>550</v>
      </c>
      <c r="S305" s="280"/>
      <c r="T305" s="245">
        <v>4.0000000000000003E-5</v>
      </c>
      <c r="U305" s="245">
        <v>2.0000000000000001E-4</v>
      </c>
      <c r="V305" s="245"/>
      <c r="W305" s="245"/>
      <c r="X305" s="247"/>
      <c r="Y305" s="242"/>
      <c r="Z305" s="242"/>
      <c r="AA305" s="245"/>
      <c r="AB305" s="242"/>
      <c r="AC305" s="245"/>
      <c r="AD305" s="242"/>
      <c r="AE305" s="242"/>
      <c r="AF305" s="245"/>
      <c r="AG305" s="240"/>
      <c r="AH305" s="248"/>
      <c r="AI305" s="248"/>
    </row>
    <row r="306" spans="1:35" ht="140.25">
      <c r="A306" s="237"/>
      <c r="B306" s="249"/>
      <c r="C306" s="239"/>
      <c r="D306" s="240"/>
      <c r="E306" s="250" t="s">
        <v>746</v>
      </c>
      <c r="F306" s="251" t="s">
        <v>1129</v>
      </c>
      <c r="G306" s="251"/>
      <c r="H306" s="251" t="s">
        <v>1130</v>
      </c>
      <c r="I306" s="251"/>
      <c r="J306" s="244" t="s">
        <v>686</v>
      </c>
      <c r="K306" s="251"/>
      <c r="L306" s="249" t="s">
        <v>761</v>
      </c>
      <c r="M306" s="251" t="s">
        <v>1131</v>
      </c>
      <c r="N306" s="242"/>
      <c r="O306" s="251" t="s">
        <v>1132</v>
      </c>
      <c r="P306" s="242"/>
      <c r="Q306" s="233" t="s">
        <v>550</v>
      </c>
      <c r="R306" s="249"/>
      <c r="S306" s="281"/>
      <c r="T306" s="249" t="s">
        <v>762</v>
      </c>
      <c r="U306" s="249" t="s">
        <v>1133</v>
      </c>
      <c r="V306" s="249"/>
      <c r="W306" s="249"/>
      <c r="X306" s="253"/>
      <c r="Y306" s="254"/>
      <c r="Z306" s="255"/>
      <c r="AA306" s="256"/>
      <c r="AB306" s="257"/>
      <c r="AC306" s="256"/>
      <c r="AD306" s="255"/>
      <c r="AE306" s="257"/>
      <c r="AF306" s="256"/>
      <c r="AG306" s="253"/>
      <c r="AH306" s="258"/>
      <c r="AI306" s="258"/>
    </row>
    <row r="307" spans="1:35" ht="15.75">
      <c r="A307" s="237">
        <v>201</v>
      </c>
      <c r="B307" s="238" t="s">
        <v>66</v>
      </c>
      <c r="C307" s="239" t="s">
        <v>1117</v>
      </c>
      <c r="D307" s="240"/>
      <c r="E307" s="275">
        <v>94.938999999999993</v>
      </c>
      <c r="F307" s="245">
        <v>27997</v>
      </c>
      <c r="G307" s="243">
        <v>10</v>
      </c>
      <c r="H307" s="245">
        <v>130289.80680000001</v>
      </c>
      <c r="I307" s="243">
        <v>10</v>
      </c>
      <c r="J307" s="245">
        <v>334.4</v>
      </c>
      <c r="K307" s="243">
        <v>10</v>
      </c>
      <c r="L307" s="245"/>
      <c r="M307" s="242">
        <v>1.19</v>
      </c>
      <c r="N307" s="242">
        <f>10^M307</f>
        <v>15.488166189124817</v>
      </c>
      <c r="O307" s="242">
        <v>2.197235819262132</v>
      </c>
      <c r="P307" s="242">
        <f>10^O307</f>
        <v>157.4837759668516</v>
      </c>
      <c r="Q307" s="238" t="s">
        <v>550</v>
      </c>
      <c r="R307" s="238" t="s">
        <v>550</v>
      </c>
      <c r="S307" s="277"/>
      <c r="T307" s="245">
        <v>1E-3</v>
      </c>
      <c r="U307" s="245">
        <v>5.0000000000000001E-3</v>
      </c>
      <c r="V307" s="245"/>
      <c r="W307" s="245"/>
      <c r="X307" s="247"/>
      <c r="Y307" s="242"/>
      <c r="Z307" s="242"/>
      <c r="AA307" s="245"/>
      <c r="AB307" s="242"/>
      <c r="AC307" s="245"/>
      <c r="AD307" s="242"/>
      <c r="AE307" s="242"/>
      <c r="AF307" s="245"/>
      <c r="AG307" s="240"/>
      <c r="AH307" s="248"/>
      <c r="AI307" s="248"/>
    </row>
    <row r="308" spans="1:35" ht="140.25">
      <c r="A308" s="237"/>
      <c r="B308" s="249"/>
      <c r="C308" s="239"/>
      <c r="D308" s="240"/>
      <c r="E308" s="250" t="s">
        <v>746</v>
      </c>
      <c r="F308" s="249" t="s">
        <v>1118</v>
      </c>
      <c r="G308" s="251"/>
      <c r="H308" s="249" t="s">
        <v>1119</v>
      </c>
      <c r="I308" s="251"/>
      <c r="J308" s="244" t="s">
        <v>686</v>
      </c>
      <c r="K308" s="251"/>
      <c r="L308" s="249" t="s">
        <v>761</v>
      </c>
      <c r="M308" s="251" t="s">
        <v>1120</v>
      </c>
      <c r="N308" s="242"/>
      <c r="O308" s="251" t="s">
        <v>1121</v>
      </c>
      <c r="P308" s="242"/>
      <c r="Q308" s="265" t="s">
        <v>550</v>
      </c>
      <c r="R308" s="265" t="s">
        <v>550</v>
      </c>
      <c r="S308" s="277"/>
      <c r="T308" s="249" t="s">
        <v>1122</v>
      </c>
      <c r="U308" s="249" t="s">
        <v>762</v>
      </c>
      <c r="V308" s="249"/>
      <c r="W308" s="249"/>
      <c r="X308" s="253"/>
      <c r="Y308" s="254"/>
      <c r="Z308" s="255"/>
      <c r="AA308" s="256"/>
      <c r="AB308" s="257"/>
      <c r="AC308" s="256"/>
      <c r="AD308" s="255"/>
      <c r="AE308" s="257"/>
      <c r="AF308" s="256"/>
      <c r="AG308" s="253"/>
      <c r="AH308" s="258"/>
      <c r="AI308" s="258"/>
    </row>
    <row r="309" spans="1:35">
      <c r="A309" s="310">
        <v>202</v>
      </c>
      <c r="B309" s="310" t="s">
        <v>425</v>
      </c>
      <c r="C309" s="310" t="s">
        <v>1498</v>
      </c>
      <c r="E309" s="310"/>
      <c r="F309" s="310"/>
      <c r="G309" s="310"/>
      <c r="H309" s="310"/>
      <c r="I309" s="310"/>
      <c r="J309" s="311">
        <v>3.3399999999999999E-18</v>
      </c>
      <c r="K309" s="310">
        <v>25</v>
      </c>
      <c r="L309" s="310"/>
      <c r="M309" s="310"/>
      <c r="N309" s="310"/>
      <c r="O309" s="310"/>
      <c r="P309" s="310"/>
      <c r="Q309" s="310"/>
      <c r="R309" s="310"/>
      <c r="T309" s="310"/>
      <c r="U309" s="310"/>
      <c r="V309" s="310"/>
      <c r="W309" s="310"/>
      <c r="Y309" s="312"/>
      <c r="Z309" s="312"/>
      <c r="AA309" s="312"/>
      <c r="AB309" s="312"/>
      <c r="AC309" s="312"/>
      <c r="AD309" s="312"/>
      <c r="AE309" s="312"/>
      <c r="AF309" s="312"/>
      <c r="AH309" s="310"/>
      <c r="AI309" s="310"/>
    </row>
    <row r="310" spans="1:35">
      <c r="A310" s="310"/>
      <c r="B310" s="310"/>
      <c r="C310" s="310"/>
      <c r="E310" s="310"/>
      <c r="F310" s="310"/>
      <c r="G310" s="310"/>
      <c r="H310" s="310"/>
      <c r="I310" s="310"/>
      <c r="J310" s="311" t="s">
        <v>1499</v>
      </c>
      <c r="K310" s="310"/>
      <c r="L310" s="310"/>
      <c r="M310" s="310"/>
      <c r="N310" s="310"/>
      <c r="O310" s="310"/>
      <c r="P310" s="310"/>
      <c r="Q310" s="310"/>
      <c r="R310" s="310"/>
      <c r="T310" s="310"/>
      <c r="U310" s="310"/>
      <c r="V310" s="310"/>
      <c r="W310" s="310"/>
      <c r="Y310" s="312"/>
      <c r="Z310" s="312"/>
      <c r="AA310" s="312"/>
      <c r="AB310" s="312"/>
      <c r="AC310" s="312"/>
      <c r="AD310" s="312"/>
      <c r="AE310" s="312"/>
      <c r="AF310" s="312"/>
      <c r="AH310" s="310"/>
      <c r="AI310" s="310"/>
    </row>
    <row r="311" spans="1:35" ht="15.75">
      <c r="A311" s="237">
        <v>203</v>
      </c>
      <c r="B311" s="238" t="s">
        <v>60</v>
      </c>
      <c r="C311" s="239" t="s">
        <v>1092</v>
      </c>
      <c r="D311" s="240"/>
      <c r="E311" s="241">
        <v>88.105999999999995</v>
      </c>
      <c r="F311" s="245">
        <v>86200</v>
      </c>
      <c r="G311" s="243">
        <v>9.5</v>
      </c>
      <c r="H311" s="245">
        <v>5790.1904270000005</v>
      </c>
      <c r="I311" s="243">
        <v>10</v>
      </c>
      <c r="J311" s="245">
        <v>12.72</v>
      </c>
      <c r="K311" s="243">
        <v>20</v>
      </c>
      <c r="L311" s="245"/>
      <c r="M311" s="242">
        <v>0.70289215565024721</v>
      </c>
      <c r="N311" s="242">
        <f>10^M311</f>
        <v>5.0453599522860451</v>
      </c>
      <c r="O311" s="238">
        <v>0.36099999999999999</v>
      </c>
      <c r="P311" s="242">
        <f>10^O311</f>
        <v>2.2961486481123621</v>
      </c>
      <c r="Q311" s="238" t="s">
        <v>550</v>
      </c>
      <c r="R311" s="238" t="s">
        <v>550</v>
      </c>
      <c r="S311" s="277"/>
      <c r="T311" s="245">
        <v>0.9</v>
      </c>
      <c r="U311" s="238"/>
      <c r="V311" s="245"/>
      <c r="W311" s="245"/>
      <c r="X311" s="247"/>
      <c r="Y311" s="242"/>
      <c r="Z311" s="242"/>
      <c r="AA311" s="245"/>
      <c r="AB311" s="242"/>
      <c r="AC311" s="245"/>
      <c r="AD311" s="242"/>
      <c r="AE311" s="242"/>
      <c r="AF311" s="245"/>
      <c r="AG311" s="240"/>
      <c r="AH311" s="248"/>
      <c r="AI311" s="248"/>
    </row>
    <row r="312" spans="1:35" ht="127.5">
      <c r="A312" s="237"/>
      <c r="B312" s="249"/>
      <c r="C312" s="239"/>
      <c r="D312" s="240"/>
      <c r="E312" s="250" t="s">
        <v>746</v>
      </c>
      <c r="F312" s="251" t="s">
        <v>1093</v>
      </c>
      <c r="G312" s="251"/>
      <c r="H312" s="251" t="s">
        <v>1094</v>
      </c>
      <c r="I312" s="251"/>
      <c r="J312" s="244" t="s">
        <v>686</v>
      </c>
      <c r="K312" s="251"/>
      <c r="L312" s="249" t="s">
        <v>761</v>
      </c>
      <c r="M312" s="251" t="s">
        <v>1095</v>
      </c>
      <c r="N312" s="242"/>
      <c r="O312" s="251" t="s">
        <v>1096</v>
      </c>
      <c r="P312" s="242"/>
      <c r="Q312" s="265" t="s">
        <v>1097</v>
      </c>
      <c r="R312" s="249"/>
      <c r="S312" s="278"/>
      <c r="T312" s="249" t="s">
        <v>762</v>
      </c>
      <c r="U312" s="249"/>
      <c r="V312" s="249"/>
      <c r="W312" s="249"/>
      <c r="X312" s="253"/>
      <c r="Y312" s="254"/>
      <c r="Z312" s="255"/>
      <c r="AA312" s="256"/>
      <c r="AB312" s="257"/>
      <c r="AC312" s="256"/>
      <c r="AD312" s="255"/>
      <c r="AE312" s="257"/>
      <c r="AF312" s="256"/>
      <c r="AG312" s="253"/>
      <c r="AH312" s="258"/>
      <c r="AI312" s="258"/>
    </row>
    <row r="313" spans="1:35" ht="15.75">
      <c r="A313" s="237">
        <v>204</v>
      </c>
      <c r="B313" s="238" t="s">
        <v>76</v>
      </c>
      <c r="C313" s="239" t="s">
        <v>1098</v>
      </c>
      <c r="D313" s="240"/>
      <c r="E313" s="241">
        <v>74.120999999999995</v>
      </c>
      <c r="F313" s="245">
        <v>91000</v>
      </c>
      <c r="G313" s="243">
        <v>10</v>
      </c>
      <c r="H313" s="245">
        <v>38967.087079999998</v>
      </c>
      <c r="I313" s="243">
        <v>10</v>
      </c>
      <c r="J313" s="245">
        <v>46.60173399</v>
      </c>
      <c r="K313" s="243">
        <v>10</v>
      </c>
      <c r="L313" s="245"/>
      <c r="M313" s="242">
        <v>0.87989194853117503</v>
      </c>
      <c r="N313" s="242">
        <f>10^M313</f>
        <v>7.5838886614832992</v>
      </c>
      <c r="O313" s="242">
        <f>LOG(0.411*10^M313)</f>
        <v>0.4937337704072442</v>
      </c>
      <c r="P313" s="242">
        <f>10^O313</f>
        <v>3.1169782398696362</v>
      </c>
      <c r="Q313" s="238" t="s">
        <v>550</v>
      </c>
      <c r="R313" s="238" t="s">
        <v>550</v>
      </c>
      <c r="S313" s="277"/>
      <c r="T313" s="245">
        <v>0.2</v>
      </c>
      <c r="U313" s="238"/>
      <c r="V313" s="245"/>
      <c r="W313" s="245"/>
      <c r="X313" s="247"/>
      <c r="Y313" s="242"/>
      <c r="Z313" s="242"/>
      <c r="AA313" s="245"/>
      <c r="AB313" s="242"/>
      <c r="AC313" s="245"/>
      <c r="AD313" s="242"/>
      <c r="AE313" s="242"/>
      <c r="AF313" s="245"/>
      <c r="AG313" s="240"/>
      <c r="AH313" s="248"/>
      <c r="AI313" s="248"/>
    </row>
    <row r="314" spans="1:35" ht="153">
      <c r="A314" s="237"/>
      <c r="B314" s="249"/>
      <c r="C314" s="239"/>
      <c r="D314" s="240"/>
      <c r="E314" s="250" t="s">
        <v>746</v>
      </c>
      <c r="F314" s="251" t="s">
        <v>1099</v>
      </c>
      <c r="G314" s="251"/>
      <c r="H314" s="251" t="s">
        <v>1100</v>
      </c>
      <c r="I314" s="251"/>
      <c r="J314" s="244" t="s">
        <v>686</v>
      </c>
      <c r="K314" s="251"/>
      <c r="L314" s="249" t="s">
        <v>761</v>
      </c>
      <c r="M314" s="251" t="s">
        <v>1101</v>
      </c>
      <c r="N314" s="242"/>
      <c r="O314" s="251" t="s">
        <v>1018</v>
      </c>
      <c r="P314" s="242"/>
      <c r="Q314" s="265" t="s">
        <v>1102</v>
      </c>
      <c r="R314" s="249"/>
      <c r="S314" s="278"/>
      <c r="T314" s="249" t="s">
        <v>762</v>
      </c>
      <c r="U314" s="249"/>
      <c r="V314" s="249"/>
      <c r="W314" s="249"/>
      <c r="X314" s="253"/>
      <c r="Y314" s="254"/>
      <c r="Z314" s="255"/>
      <c r="AA314" s="256"/>
      <c r="AB314" s="257"/>
      <c r="AC314" s="256"/>
      <c r="AD314" s="255"/>
      <c r="AE314" s="257"/>
      <c r="AF314" s="256"/>
      <c r="AG314" s="253"/>
      <c r="AH314" s="258"/>
      <c r="AI314" s="258"/>
    </row>
    <row r="315" spans="1:35" ht="15.75">
      <c r="A315" s="237">
        <v>205</v>
      </c>
      <c r="B315" s="238" t="s">
        <v>345</v>
      </c>
      <c r="C315" s="239" t="s">
        <v>1134</v>
      </c>
      <c r="D315" s="240"/>
      <c r="E315" s="241">
        <v>92.524000000000001</v>
      </c>
      <c r="F315" s="235">
        <v>70400</v>
      </c>
      <c r="G315" s="261">
        <v>20</v>
      </c>
      <c r="H315" s="245">
        <v>893</v>
      </c>
      <c r="I315" s="243">
        <v>10</v>
      </c>
      <c r="J315" s="245">
        <v>3</v>
      </c>
      <c r="K315" s="243">
        <v>20</v>
      </c>
      <c r="L315" s="245"/>
      <c r="M315" s="242">
        <v>0.41</v>
      </c>
      <c r="N315" s="242">
        <f>10^M315</f>
        <v>2.5703957827688639</v>
      </c>
      <c r="O315" s="242">
        <v>2.09</v>
      </c>
      <c r="P315" s="242">
        <f>10^O315</f>
        <v>123.02687708123821</v>
      </c>
      <c r="Q315" s="238" t="s">
        <v>550</v>
      </c>
      <c r="R315" s="238" t="s">
        <v>550</v>
      </c>
      <c r="S315" s="280"/>
      <c r="T315" s="245">
        <v>1.3999999999999999E-4</v>
      </c>
      <c r="U315" s="245">
        <v>1E-3</v>
      </c>
      <c r="V315" s="245">
        <f>0.00001/0.08</f>
        <v>1.25E-4</v>
      </c>
      <c r="W315" s="245">
        <f>0.00001/0.023</f>
        <v>4.3478260869565219E-4</v>
      </c>
      <c r="X315" s="247"/>
      <c r="Y315" s="242"/>
      <c r="Z315" s="242"/>
      <c r="AA315" s="245"/>
      <c r="AB315" s="242"/>
      <c r="AC315" s="245"/>
      <c r="AD315" s="242"/>
      <c r="AE315" s="242"/>
      <c r="AF315" s="245"/>
      <c r="AG315" s="240"/>
      <c r="AH315" s="248"/>
      <c r="AI315" s="248"/>
    </row>
    <row r="316" spans="1:35" ht="165.75">
      <c r="A316" s="237"/>
      <c r="B316" s="249"/>
      <c r="C316" s="239"/>
      <c r="D316" s="240"/>
      <c r="E316" s="250" t="s">
        <v>746</v>
      </c>
      <c r="F316" s="249" t="s">
        <v>1135</v>
      </c>
      <c r="G316" s="251"/>
      <c r="H316" s="251" t="s">
        <v>1136</v>
      </c>
      <c r="I316" s="251"/>
      <c r="J316" s="244" t="s">
        <v>1137</v>
      </c>
      <c r="K316" s="251"/>
      <c r="L316" s="249" t="s">
        <v>761</v>
      </c>
      <c r="M316" s="251" t="s">
        <v>1138</v>
      </c>
      <c r="N316" s="242"/>
      <c r="O316" s="251" t="s">
        <v>1139</v>
      </c>
      <c r="P316" s="242"/>
      <c r="Q316" s="249" t="s">
        <v>812</v>
      </c>
      <c r="R316" s="249"/>
      <c r="S316" s="281"/>
      <c r="T316" s="249" t="s">
        <v>1140</v>
      </c>
      <c r="U316" s="249" t="s">
        <v>1141</v>
      </c>
      <c r="V316" s="249" t="s">
        <v>1142</v>
      </c>
      <c r="W316" s="249" t="s">
        <v>1143</v>
      </c>
      <c r="X316" s="253"/>
      <c r="Y316" s="254"/>
      <c r="Z316" s="255"/>
      <c r="AA316" s="256"/>
      <c r="AB316" s="257"/>
      <c r="AC316" s="256"/>
      <c r="AD316" s="255"/>
      <c r="AE316" s="257"/>
      <c r="AF316" s="256"/>
      <c r="AG316" s="253"/>
      <c r="AH316" s="258"/>
      <c r="AI316" s="258"/>
    </row>
    <row r="317" spans="1:35" ht="15.75">
      <c r="A317" s="237">
        <v>207</v>
      </c>
      <c r="B317" s="238" t="s">
        <v>427</v>
      </c>
      <c r="C317" s="239" t="s">
        <v>723</v>
      </c>
      <c r="D317" s="240"/>
      <c r="E317" s="275">
        <v>215.892</v>
      </c>
      <c r="F317" s="235">
        <v>2.4</v>
      </c>
      <c r="G317" s="261">
        <v>22</v>
      </c>
      <c r="H317" s="235">
        <v>13.982849999999999</v>
      </c>
      <c r="I317" s="261">
        <v>20</v>
      </c>
      <c r="J317" s="245">
        <v>99</v>
      </c>
      <c r="K317" s="243">
        <v>20</v>
      </c>
      <c r="L317" s="245">
        <v>9.9999999999999995E-7</v>
      </c>
      <c r="M317" s="242">
        <v>4.6497999999999999</v>
      </c>
      <c r="N317" s="242">
        <f>10^M317</f>
        <v>44647.793411299732</v>
      </c>
      <c r="O317" s="242">
        <v>3.9163000000000001</v>
      </c>
      <c r="P317" s="242">
        <f>10^O317</f>
        <v>8247.0760612707927</v>
      </c>
      <c r="Q317" s="238" t="s">
        <v>550</v>
      </c>
      <c r="R317" s="238" t="s">
        <v>550</v>
      </c>
      <c r="S317" s="280"/>
      <c r="T317" s="245">
        <v>4.0999999999999999E-4</v>
      </c>
      <c r="U317" s="238"/>
      <c r="V317" s="245"/>
      <c r="W317" s="245"/>
      <c r="X317" s="247"/>
      <c r="Y317" s="242"/>
      <c r="Z317" s="242"/>
      <c r="AA317" s="245"/>
      <c r="AB317" s="242"/>
      <c r="AC317" s="245"/>
      <c r="AD317" s="242"/>
      <c r="AE317" s="242"/>
      <c r="AF317" s="245"/>
      <c r="AG317" s="240"/>
      <c r="AH317" s="248"/>
      <c r="AI317" s="248"/>
    </row>
    <row r="318" spans="1:35" ht="242.25">
      <c r="A318" s="237"/>
      <c r="B318" s="249"/>
      <c r="C318" s="239"/>
      <c r="D318" s="240"/>
      <c r="E318" s="250" t="s">
        <v>746</v>
      </c>
      <c r="F318" s="256" t="s">
        <v>1152</v>
      </c>
      <c r="G318" s="264"/>
      <c r="H318" s="251" t="s">
        <v>1153</v>
      </c>
      <c r="I318" s="251"/>
      <c r="J318" s="244" t="s">
        <v>686</v>
      </c>
      <c r="K318" s="251"/>
      <c r="L318" s="251" t="s">
        <v>690</v>
      </c>
      <c r="M318" s="251" t="s">
        <v>1154</v>
      </c>
      <c r="N318" s="242"/>
      <c r="O318" s="251" t="s">
        <v>1155</v>
      </c>
      <c r="P318" s="242"/>
      <c r="Q318" s="249" t="s">
        <v>1156</v>
      </c>
      <c r="R318" s="265"/>
      <c r="S318" s="281"/>
      <c r="T318" s="249" t="s">
        <v>1157</v>
      </c>
      <c r="U318" s="249"/>
      <c r="V318" s="249"/>
      <c r="W318" s="249"/>
      <c r="X318" s="253"/>
      <c r="Y318" s="254"/>
      <c r="Z318" s="255"/>
      <c r="AA318" s="256"/>
      <c r="AB318" s="257"/>
      <c r="AC318" s="256"/>
      <c r="AD318" s="255"/>
      <c r="AE318" s="257"/>
      <c r="AF318" s="256"/>
      <c r="AG318" s="253"/>
      <c r="AH318" s="258"/>
      <c r="AI318" s="258"/>
    </row>
    <row r="319" spans="1:35">
      <c r="A319" s="237">
        <v>208</v>
      </c>
      <c r="B319" s="238" t="s">
        <v>428</v>
      </c>
      <c r="C319" s="296" t="s">
        <v>550</v>
      </c>
      <c r="D319" s="259"/>
      <c r="E319" s="241">
        <v>150</v>
      </c>
      <c r="F319" s="245">
        <v>1000000</v>
      </c>
      <c r="G319" s="243" t="s">
        <v>550</v>
      </c>
      <c r="H319" s="276">
        <v>2.6099999999999999E-3</v>
      </c>
      <c r="I319" s="261" t="s">
        <v>550</v>
      </c>
      <c r="J319" s="276">
        <v>3.9200000000000002E-7</v>
      </c>
      <c r="K319" s="261">
        <v>20</v>
      </c>
      <c r="L319" s="276"/>
      <c r="M319" s="260">
        <v>-0.73</v>
      </c>
      <c r="N319" s="242">
        <f>10^M319</f>
        <v>0.18620871366628672</v>
      </c>
      <c r="O319" s="260">
        <v>1</v>
      </c>
      <c r="P319" s="242">
        <f>10^O319</f>
        <v>10</v>
      </c>
      <c r="Q319" s="238" t="s">
        <v>550</v>
      </c>
      <c r="R319" s="238" t="s">
        <v>550</v>
      </c>
      <c r="S319" s="280"/>
      <c r="T319" s="235">
        <v>8.3000000000000007</v>
      </c>
      <c r="U319" s="235">
        <v>29</v>
      </c>
      <c r="V319" s="238"/>
      <c r="W319" s="238"/>
      <c r="X319" s="240"/>
      <c r="Y319" s="242"/>
      <c r="Z319" s="242"/>
      <c r="AA319" s="245"/>
      <c r="AB319" s="242"/>
      <c r="AC319" s="245"/>
      <c r="AD319" s="242"/>
      <c r="AE319" s="242"/>
      <c r="AF319" s="245"/>
      <c r="AG319" s="240"/>
      <c r="AH319" s="248"/>
      <c r="AI319" s="248"/>
    </row>
    <row r="320" spans="1:35" ht="25.5">
      <c r="A320" s="237"/>
      <c r="B320" s="249"/>
      <c r="C320" s="239"/>
      <c r="D320" s="240"/>
      <c r="E320" s="297" t="s">
        <v>1158</v>
      </c>
      <c r="F320" s="254" t="s">
        <v>1158</v>
      </c>
      <c r="G320" s="289"/>
      <c r="H320" s="254" t="s">
        <v>1158</v>
      </c>
      <c r="I320" s="289"/>
      <c r="J320" s="254" t="s">
        <v>1158</v>
      </c>
      <c r="K320" s="251"/>
      <c r="L320" s="254"/>
      <c r="M320" s="254" t="s">
        <v>1158</v>
      </c>
      <c r="N320" s="242"/>
      <c r="O320" s="254" t="s">
        <v>1158</v>
      </c>
      <c r="P320" s="242"/>
      <c r="Q320" s="265" t="s">
        <v>550</v>
      </c>
      <c r="R320" s="265" t="s">
        <v>550</v>
      </c>
      <c r="S320" s="280"/>
      <c r="T320" s="254" t="s">
        <v>1158</v>
      </c>
      <c r="U320" s="254" t="s">
        <v>1158</v>
      </c>
      <c r="V320" s="249"/>
      <c r="W320" s="238"/>
      <c r="X320" s="240"/>
      <c r="Y320" s="254"/>
      <c r="Z320" s="255"/>
      <c r="AA320" s="256"/>
      <c r="AB320" s="257"/>
      <c r="AC320" s="256"/>
      <c r="AD320" s="255"/>
      <c r="AE320" s="257"/>
      <c r="AF320" s="256"/>
      <c r="AG320" s="253"/>
      <c r="AH320" s="258"/>
      <c r="AI320" s="258"/>
    </row>
    <row r="321" spans="1:35">
      <c r="A321" s="237">
        <v>209</v>
      </c>
      <c r="B321" s="235" t="s">
        <v>429</v>
      </c>
      <c r="C321" s="296" t="s">
        <v>550</v>
      </c>
      <c r="D321" s="259"/>
      <c r="E321" s="282">
        <v>240</v>
      </c>
      <c r="F321" s="245">
        <v>1000000</v>
      </c>
      <c r="G321" s="243" t="s">
        <v>550</v>
      </c>
      <c r="H321" s="276">
        <v>6.9200000000000002E-4</v>
      </c>
      <c r="I321" s="261" t="s">
        <v>550</v>
      </c>
      <c r="J321" s="276">
        <v>1.66E-7</v>
      </c>
      <c r="K321" s="261">
        <v>20</v>
      </c>
      <c r="L321" s="276"/>
      <c r="M321" s="260">
        <v>1.8</v>
      </c>
      <c r="N321" s="242">
        <f>10^M321</f>
        <v>63.095734448019364</v>
      </c>
      <c r="O321" s="260">
        <v>1</v>
      </c>
      <c r="P321" s="242">
        <f>10^O321</f>
        <v>10</v>
      </c>
      <c r="Q321" s="238" t="s">
        <v>550</v>
      </c>
      <c r="R321" s="238" t="s">
        <v>550</v>
      </c>
      <c r="S321" s="280"/>
      <c r="T321" s="235">
        <v>8.3000000000000007</v>
      </c>
      <c r="U321" s="235">
        <v>29</v>
      </c>
      <c r="V321" s="238"/>
      <c r="W321" s="238"/>
      <c r="X321" s="240"/>
      <c r="Y321" s="242"/>
      <c r="Z321" s="242"/>
      <c r="AA321" s="245"/>
      <c r="AB321" s="242"/>
      <c r="AC321" s="245"/>
      <c r="AD321" s="242"/>
      <c r="AE321" s="242"/>
      <c r="AF321" s="245"/>
      <c r="AG321" s="240"/>
      <c r="AH321" s="248"/>
      <c r="AI321" s="248"/>
    </row>
    <row r="322" spans="1:35" ht="25.5">
      <c r="A322" s="237"/>
      <c r="B322" s="283"/>
      <c r="C322" s="272"/>
      <c r="D322" s="259"/>
      <c r="E322" s="297" t="s">
        <v>1158</v>
      </c>
      <c r="F322" s="254" t="s">
        <v>1158</v>
      </c>
      <c r="G322" s="289"/>
      <c r="H322" s="254" t="s">
        <v>1158</v>
      </c>
      <c r="I322" s="289"/>
      <c r="J322" s="254" t="s">
        <v>1158</v>
      </c>
      <c r="K322" s="251"/>
      <c r="L322" s="254"/>
      <c r="M322" s="254" t="s">
        <v>1158</v>
      </c>
      <c r="N322" s="242"/>
      <c r="O322" s="254" t="s">
        <v>1158</v>
      </c>
      <c r="P322" s="242"/>
      <c r="Q322" s="265" t="s">
        <v>550</v>
      </c>
      <c r="R322" s="265" t="s">
        <v>550</v>
      </c>
      <c r="S322" s="286"/>
      <c r="T322" s="254" t="s">
        <v>1158</v>
      </c>
      <c r="U322" s="254" t="s">
        <v>1158</v>
      </c>
      <c r="V322" s="283"/>
      <c r="W322" s="283"/>
      <c r="X322" s="287"/>
      <c r="Y322" s="254"/>
      <c r="Z322" s="255"/>
      <c r="AA322" s="256"/>
      <c r="AB322" s="257"/>
      <c r="AC322" s="256"/>
      <c r="AD322" s="255"/>
      <c r="AE322" s="257"/>
      <c r="AF322" s="256"/>
      <c r="AG322" s="253"/>
      <c r="AH322" s="258"/>
      <c r="AI322" s="258"/>
    </row>
    <row r="323" spans="1:35">
      <c r="A323" s="237">
        <v>210</v>
      </c>
      <c r="B323" s="238" t="s">
        <v>430</v>
      </c>
      <c r="C323" s="296" t="s">
        <v>550</v>
      </c>
      <c r="D323" s="259"/>
      <c r="E323" s="241">
        <v>134</v>
      </c>
      <c r="F323" s="245">
        <v>1000000</v>
      </c>
      <c r="G323" s="243" t="s">
        <v>550</v>
      </c>
      <c r="H323" s="235">
        <v>8.3900000000000002E-2</v>
      </c>
      <c r="I323" s="261" t="s">
        <v>550</v>
      </c>
      <c r="J323" s="245">
        <v>1.1199999999999999E-5</v>
      </c>
      <c r="K323" s="243">
        <v>20</v>
      </c>
      <c r="L323" s="245"/>
      <c r="M323" s="242">
        <v>0.01</v>
      </c>
      <c r="N323" s="242">
        <f>10^M323</f>
        <v>1.0232929922807541</v>
      </c>
      <c r="O323" s="242">
        <v>0.1</v>
      </c>
      <c r="P323" s="242">
        <f>10^O323</f>
        <v>1.2589254117941673</v>
      </c>
      <c r="Q323" s="238" t="s">
        <v>550</v>
      </c>
      <c r="R323" s="238" t="s">
        <v>550</v>
      </c>
      <c r="S323" s="280"/>
      <c r="T323" s="235">
        <v>8.3000000000000007</v>
      </c>
      <c r="U323" s="235">
        <v>29</v>
      </c>
      <c r="V323" s="238"/>
      <c r="W323" s="238"/>
      <c r="X323" s="240"/>
      <c r="Y323" s="242"/>
      <c r="Z323" s="242"/>
      <c r="AA323" s="245"/>
      <c r="AB323" s="242"/>
      <c r="AC323" s="245"/>
      <c r="AD323" s="242"/>
      <c r="AE323" s="242"/>
      <c r="AF323" s="245"/>
      <c r="AG323" s="240"/>
      <c r="AH323" s="248"/>
      <c r="AI323" s="248"/>
    </row>
    <row r="324" spans="1:35" ht="25.5">
      <c r="A324" s="237"/>
      <c r="B324" s="249"/>
      <c r="C324" s="239"/>
      <c r="D324" s="240"/>
      <c r="E324" s="297" t="s">
        <v>1158</v>
      </c>
      <c r="F324" s="254" t="s">
        <v>1158</v>
      </c>
      <c r="G324" s="289"/>
      <c r="H324" s="254" t="s">
        <v>1158</v>
      </c>
      <c r="I324" s="289"/>
      <c r="J324" s="254" t="s">
        <v>1158</v>
      </c>
      <c r="K324" s="251"/>
      <c r="L324" s="251"/>
      <c r="M324" s="254" t="s">
        <v>1158</v>
      </c>
      <c r="N324" s="242"/>
      <c r="O324" s="254" t="s">
        <v>1158</v>
      </c>
      <c r="P324" s="242"/>
      <c r="Q324" s="265" t="s">
        <v>550</v>
      </c>
      <c r="R324" s="265" t="s">
        <v>550</v>
      </c>
      <c r="S324" s="280"/>
      <c r="T324" s="254" t="s">
        <v>1158</v>
      </c>
      <c r="U324" s="254" t="s">
        <v>1158</v>
      </c>
      <c r="V324" s="249"/>
      <c r="W324" s="249"/>
      <c r="X324" s="253"/>
      <c r="Y324" s="254"/>
      <c r="Z324" s="255"/>
      <c r="AA324" s="256"/>
      <c r="AB324" s="257"/>
      <c r="AC324" s="256"/>
      <c r="AD324" s="255"/>
      <c r="AE324" s="257"/>
      <c r="AF324" s="256"/>
      <c r="AG324" s="253"/>
      <c r="AH324" s="258"/>
      <c r="AI324" s="258"/>
    </row>
    <row r="325" spans="1:35">
      <c r="A325" s="237">
        <v>211</v>
      </c>
      <c r="B325" s="288" t="s">
        <v>431</v>
      </c>
      <c r="C325" s="296" t="s">
        <v>550</v>
      </c>
      <c r="D325" s="259"/>
      <c r="E325" s="241">
        <v>180</v>
      </c>
      <c r="F325" s="245">
        <v>21000</v>
      </c>
      <c r="G325" s="243" t="s">
        <v>550</v>
      </c>
      <c r="H325" s="276">
        <v>1.9599999999999999E-4</v>
      </c>
      <c r="I325" s="261" t="s">
        <v>550</v>
      </c>
      <c r="J325" s="276">
        <v>1.68E-6</v>
      </c>
      <c r="K325" s="261">
        <v>20</v>
      </c>
      <c r="L325" s="276"/>
      <c r="M325" s="235">
        <v>2.71</v>
      </c>
      <c r="N325" s="242">
        <f>10^M325</f>
        <v>512.86138399136519</v>
      </c>
      <c r="O325" s="235">
        <v>1.2</v>
      </c>
      <c r="P325" s="242">
        <f>10^O325</f>
        <v>15.848931924611136</v>
      </c>
      <c r="Q325" s="238" t="s">
        <v>550</v>
      </c>
      <c r="R325" s="238" t="s">
        <v>550</v>
      </c>
      <c r="S325" s="280"/>
      <c r="T325" s="235">
        <v>0.33</v>
      </c>
      <c r="U325" s="235">
        <v>1.2</v>
      </c>
      <c r="V325" s="238"/>
      <c r="W325" s="238"/>
      <c r="X325" s="240"/>
      <c r="Y325" s="242"/>
      <c r="Z325" s="242"/>
      <c r="AA325" s="245"/>
      <c r="AB325" s="242"/>
      <c r="AC325" s="245"/>
      <c r="AD325" s="242"/>
      <c r="AE325" s="242"/>
      <c r="AF325" s="245"/>
      <c r="AG325" s="240"/>
      <c r="AH325" s="248"/>
      <c r="AI325" s="248"/>
    </row>
    <row r="326" spans="1:35" ht="25.5">
      <c r="A326" s="237"/>
      <c r="B326" s="265"/>
      <c r="C326" s="239"/>
      <c r="D326" s="240"/>
      <c r="E326" s="297" t="s">
        <v>1158</v>
      </c>
      <c r="F326" s="254" t="s">
        <v>1158</v>
      </c>
      <c r="G326" s="289"/>
      <c r="H326" s="254" t="s">
        <v>1158</v>
      </c>
      <c r="I326" s="289"/>
      <c r="J326" s="254" t="s">
        <v>1158</v>
      </c>
      <c r="K326" s="251"/>
      <c r="L326" s="256"/>
      <c r="M326" s="254" t="s">
        <v>1158</v>
      </c>
      <c r="N326" s="242"/>
      <c r="O326" s="254" t="s">
        <v>1158</v>
      </c>
      <c r="P326" s="242"/>
      <c r="Q326" s="265" t="s">
        <v>550</v>
      </c>
      <c r="R326" s="265" t="s">
        <v>550</v>
      </c>
      <c r="S326" s="280"/>
      <c r="T326" s="254" t="s">
        <v>1158</v>
      </c>
      <c r="U326" s="254" t="s">
        <v>1158</v>
      </c>
      <c r="V326" s="238"/>
      <c r="W326" s="249"/>
      <c r="X326" s="253"/>
      <c r="Y326" s="254"/>
      <c r="Z326" s="255"/>
      <c r="AA326" s="256"/>
      <c r="AB326" s="257"/>
      <c r="AC326" s="256"/>
      <c r="AD326" s="255"/>
      <c r="AE326" s="257"/>
      <c r="AF326" s="256"/>
      <c r="AG326" s="253"/>
      <c r="AH326" s="258"/>
      <c r="AI326" s="258"/>
    </row>
    <row r="327" spans="1:35">
      <c r="A327" s="237">
        <v>214</v>
      </c>
      <c r="B327" s="238" t="s">
        <v>434</v>
      </c>
      <c r="C327" s="239" t="s">
        <v>1159</v>
      </c>
      <c r="D327" s="240"/>
      <c r="E327" s="241">
        <v>220.351</v>
      </c>
      <c r="F327" s="242">
        <v>4.9000000000000004</v>
      </c>
      <c r="G327" s="243">
        <v>25</v>
      </c>
      <c r="H327" s="260">
        <v>0.109</v>
      </c>
      <c r="I327" s="261">
        <v>25</v>
      </c>
      <c r="J327" s="276">
        <v>1.5705</v>
      </c>
      <c r="K327" s="261">
        <v>25</v>
      </c>
      <c r="L327" s="276"/>
      <c r="M327" s="260">
        <v>5.9</v>
      </c>
      <c r="N327" s="242">
        <f>10^M327</f>
        <v>794328.23472428333</v>
      </c>
      <c r="O327" s="242">
        <f>LOG(0.411*10^M327)</f>
        <v>5.5138418218760705</v>
      </c>
      <c r="P327" s="242">
        <f>10^O327</f>
        <v>326468.90447168122</v>
      </c>
      <c r="Q327" s="238" t="s">
        <v>550</v>
      </c>
      <c r="R327" s="238" t="s">
        <v>550</v>
      </c>
      <c r="S327" s="280"/>
      <c r="T327" s="276">
        <v>0.03</v>
      </c>
      <c r="U327" s="235"/>
      <c r="V327" s="238"/>
      <c r="W327" s="238"/>
      <c r="X327" s="240"/>
      <c r="Y327" s="242"/>
      <c r="Z327" s="242"/>
      <c r="AA327" s="245"/>
      <c r="AB327" s="242"/>
      <c r="AC327" s="245"/>
      <c r="AD327" s="242"/>
      <c r="AE327" s="242"/>
      <c r="AF327" s="245"/>
      <c r="AG327" s="240"/>
      <c r="AH327" s="248"/>
      <c r="AI327" s="248"/>
    </row>
    <row r="328" spans="1:35" ht="153">
      <c r="A328" s="237"/>
      <c r="B328" s="249"/>
      <c r="C328" s="239"/>
      <c r="D328" s="240"/>
      <c r="E328" s="250" t="s">
        <v>1160</v>
      </c>
      <c r="F328" s="249" t="s">
        <v>1161</v>
      </c>
      <c r="G328" s="251"/>
      <c r="H328" s="249" t="s">
        <v>1162</v>
      </c>
      <c r="I328" s="251"/>
      <c r="J328" s="244" t="s">
        <v>686</v>
      </c>
      <c r="K328" s="251"/>
      <c r="L328" s="254"/>
      <c r="M328" s="249" t="s">
        <v>1163</v>
      </c>
      <c r="N328" s="242"/>
      <c r="O328" s="251" t="s">
        <v>1018</v>
      </c>
      <c r="P328" s="242"/>
      <c r="Q328" s="265" t="s">
        <v>550</v>
      </c>
      <c r="R328" s="265" t="s">
        <v>550</v>
      </c>
      <c r="S328" s="281"/>
      <c r="T328" s="256" t="s">
        <v>1164</v>
      </c>
      <c r="U328" s="256"/>
      <c r="V328" s="249"/>
      <c r="W328" s="249"/>
      <c r="X328" s="253"/>
      <c r="Y328" s="254"/>
      <c r="Z328" s="255"/>
      <c r="AA328" s="256"/>
      <c r="AB328" s="257"/>
      <c r="AC328" s="256"/>
      <c r="AD328" s="255"/>
      <c r="AE328" s="257"/>
      <c r="AF328" s="256"/>
      <c r="AG328" s="253"/>
      <c r="AH328" s="258"/>
      <c r="AI328" s="258"/>
    </row>
    <row r="329" spans="1:35">
      <c r="A329" s="237">
        <v>215</v>
      </c>
      <c r="B329" s="245" t="s">
        <v>435</v>
      </c>
      <c r="C329" s="239" t="s">
        <v>1438</v>
      </c>
      <c r="D329" s="240"/>
      <c r="E329" s="275">
        <v>269.76799999999997</v>
      </c>
      <c r="F329" s="245">
        <v>282</v>
      </c>
      <c r="G329" s="243">
        <v>20</v>
      </c>
      <c r="H329" s="276">
        <v>2.1999999999999999E-5</v>
      </c>
      <c r="I329" s="261">
        <v>25</v>
      </c>
      <c r="J329" s="245">
        <v>2.0999999999999999E-3</v>
      </c>
      <c r="K329" s="243">
        <v>25</v>
      </c>
      <c r="L329" s="245"/>
      <c r="M329" s="242">
        <v>4.1399999999999997</v>
      </c>
      <c r="N329" s="242">
        <f t="shared" ref="N329:N345" si="4">10^M329</f>
        <v>13803.842646028841</v>
      </c>
      <c r="O329" s="242">
        <v>3.75</v>
      </c>
      <c r="P329" s="242">
        <f t="shared" ref="P329:P345" si="5">10^O329</f>
        <v>5623.4132519034993</v>
      </c>
      <c r="Q329" s="245" t="s">
        <v>550</v>
      </c>
      <c r="R329" s="245" t="s">
        <v>550</v>
      </c>
      <c r="S329" s="271"/>
      <c r="T329" s="245">
        <v>3.5999999999999999E-3</v>
      </c>
      <c r="U329" s="245"/>
      <c r="V329" s="245"/>
      <c r="W329" s="245"/>
      <c r="X329" s="247"/>
      <c r="Y329" s="242"/>
      <c r="Z329" s="242"/>
      <c r="AA329" s="242"/>
      <c r="AB329" s="242"/>
      <c r="AC329" s="245"/>
      <c r="AD329" s="242"/>
      <c r="AE329" s="242"/>
      <c r="AF329" s="242"/>
      <c r="AG329" s="240"/>
      <c r="AH329" s="248"/>
      <c r="AI329" s="248"/>
    </row>
    <row r="330" spans="1:35" ht="76.5">
      <c r="A330" s="237"/>
      <c r="B330" s="249"/>
      <c r="C330" s="239"/>
      <c r="D330" s="240"/>
      <c r="E330" s="250" t="s">
        <v>1439</v>
      </c>
      <c r="F330" s="249" t="s">
        <v>1440</v>
      </c>
      <c r="G330" s="251"/>
      <c r="H330" s="249" t="s">
        <v>1441</v>
      </c>
      <c r="I330" s="251"/>
      <c r="J330" s="244" t="s">
        <v>1442</v>
      </c>
      <c r="K330" s="251"/>
      <c r="L330" s="249" t="s">
        <v>761</v>
      </c>
      <c r="M330" s="249" t="s">
        <v>1443</v>
      </c>
      <c r="N330" s="242"/>
      <c r="O330" s="249" t="s">
        <v>1444</v>
      </c>
      <c r="P330" s="242"/>
      <c r="Q330" s="255" t="s">
        <v>550</v>
      </c>
      <c r="R330" s="254" t="s">
        <v>550</v>
      </c>
      <c r="S330" s="290"/>
      <c r="T330" s="249" t="s">
        <v>1445</v>
      </c>
      <c r="U330" s="256"/>
      <c r="V330" s="249"/>
      <c r="W330" s="249"/>
      <c r="X330" s="253"/>
      <c r="Y330" s="255" t="s">
        <v>550</v>
      </c>
      <c r="Z330" s="255" t="s">
        <v>550</v>
      </c>
      <c r="AA330" s="257" t="s">
        <v>550</v>
      </c>
      <c r="AB330" s="257" t="s">
        <v>550</v>
      </c>
      <c r="AC330" s="257" t="s">
        <v>550</v>
      </c>
      <c r="AD330" s="255" t="s">
        <v>550</v>
      </c>
      <c r="AE330" s="257" t="s">
        <v>550</v>
      </c>
      <c r="AF330" s="255" t="s">
        <v>550</v>
      </c>
      <c r="AG330" s="253"/>
      <c r="AH330" s="258" t="s">
        <v>550</v>
      </c>
      <c r="AI330" s="258" t="s">
        <v>550</v>
      </c>
    </row>
    <row r="331" spans="1:35">
      <c r="A331" s="237">
        <v>217</v>
      </c>
      <c r="B331" s="245" t="s">
        <v>437</v>
      </c>
      <c r="C331" s="272" t="s">
        <v>1446</v>
      </c>
      <c r="D331" s="259"/>
      <c r="E331" s="275">
        <v>184.23599999999999</v>
      </c>
      <c r="F331" s="245">
        <v>718000</v>
      </c>
      <c r="G331" s="243">
        <v>20</v>
      </c>
      <c r="H331" s="276">
        <v>9.9999999999999995E-7</v>
      </c>
      <c r="I331" s="261">
        <v>25</v>
      </c>
      <c r="J331" s="245">
        <v>1.4100000000000001E-8</v>
      </c>
      <c r="K331" s="243">
        <v>25</v>
      </c>
      <c r="L331" s="245"/>
      <c r="M331" s="242">
        <v>-4.5999999999999996</v>
      </c>
      <c r="N331" s="242">
        <f t="shared" si="4"/>
        <v>2.5118864315095791E-5</v>
      </c>
      <c r="O331" s="308">
        <v>0.42499999999999999</v>
      </c>
      <c r="P331" s="242">
        <f t="shared" si="5"/>
        <v>2.6607250597988097</v>
      </c>
      <c r="Q331" s="245" t="s">
        <v>550</v>
      </c>
      <c r="R331" s="245" t="s">
        <v>550</v>
      </c>
      <c r="S331" s="291"/>
      <c r="T331" s="245">
        <v>2E-3</v>
      </c>
      <c r="U331" s="245"/>
      <c r="V331" s="245"/>
      <c r="W331" s="245"/>
      <c r="X331" s="247"/>
      <c r="Y331" s="242"/>
      <c r="Z331" s="242"/>
      <c r="AA331" s="242"/>
      <c r="AB331" s="242"/>
      <c r="AC331" s="245"/>
      <c r="AD331" s="242"/>
      <c r="AE331" s="242"/>
      <c r="AF331" s="242"/>
      <c r="AG331" s="240"/>
      <c r="AH331" s="248"/>
      <c r="AI331" s="248"/>
    </row>
    <row r="332" spans="1:35" ht="89.25">
      <c r="A332" s="237"/>
      <c r="B332" s="249"/>
      <c r="C332" s="272"/>
      <c r="D332" s="259"/>
      <c r="E332" s="250" t="s">
        <v>1439</v>
      </c>
      <c r="F332" s="254" t="s">
        <v>1447</v>
      </c>
      <c r="G332" s="289"/>
      <c r="H332" s="249" t="s">
        <v>1448</v>
      </c>
      <c r="I332" s="251"/>
      <c r="J332" s="244" t="s">
        <v>1449</v>
      </c>
      <c r="K332" s="251"/>
      <c r="L332" s="249" t="s">
        <v>761</v>
      </c>
      <c r="M332" s="249" t="s">
        <v>1450</v>
      </c>
      <c r="N332" s="242"/>
      <c r="O332" s="249" t="s">
        <v>1451</v>
      </c>
      <c r="P332" s="242"/>
      <c r="Q332" s="255" t="s">
        <v>550</v>
      </c>
      <c r="R332" s="254" t="s">
        <v>550</v>
      </c>
      <c r="S332" s="291"/>
      <c r="T332" s="249" t="s">
        <v>1452</v>
      </c>
      <c r="U332" s="256"/>
      <c r="V332" s="249"/>
      <c r="W332" s="249"/>
      <c r="X332" s="253"/>
      <c r="Y332" s="255" t="s">
        <v>550</v>
      </c>
      <c r="Z332" s="255" t="s">
        <v>550</v>
      </c>
      <c r="AA332" s="257" t="s">
        <v>550</v>
      </c>
      <c r="AB332" s="257" t="s">
        <v>550</v>
      </c>
      <c r="AC332" s="257" t="s">
        <v>550</v>
      </c>
      <c r="AD332" s="255" t="s">
        <v>550</v>
      </c>
      <c r="AE332" s="257" t="s">
        <v>550</v>
      </c>
      <c r="AF332" s="255" t="s">
        <v>550</v>
      </c>
      <c r="AG332" s="253"/>
      <c r="AH332" s="258" t="s">
        <v>550</v>
      </c>
      <c r="AI332" s="258" t="s">
        <v>550</v>
      </c>
    </row>
    <row r="333" spans="1:35">
      <c r="A333" s="237">
        <v>219</v>
      </c>
      <c r="B333" s="245" t="s">
        <v>439</v>
      </c>
      <c r="C333" s="272" t="s">
        <v>1453</v>
      </c>
      <c r="D333" s="259"/>
      <c r="E333" s="275">
        <v>186.25200000000001</v>
      </c>
      <c r="F333" s="245">
        <v>620000</v>
      </c>
      <c r="G333" s="243">
        <v>20</v>
      </c>
      <c r="H333" s="276">
        <v>1.0000000000000001E-5</v>
      </c>
      <c r="I333" s="261">
        <v>25</v>
      </c>
      <c r="J333" s="245">
        <v>3.9999999999999999E-12</v>
      </c>
      <c r="K333" s="243">
        <v>25</v>
      </c>
      <c r="L333" s="276"/>
      <c r="M333" s="242">
        <v>-4.5</v>
      </c>
      <c r="N333" s="242">
        <f t="shared" si="4"/>
        <v>3.1622776601683748E-5</v>
      </c>
      <c r="O333" s="242">
        <v>-4.8899999999999997</v>
      </c>
      <c r="P333" s="242">
        <f t="shared" si="5"/>
        <v>1.2882495516931347E-5</v>
      </c>
      <c r="Q333" s="245" t="s">
        <v>550</v>
      </c>
      <c r="R333" s="245" t="s">
        <v>550</v>
      </c>
      <c r="S333" s="291"/>
      <c r="T333" s="245">
        <v>4.0000000000000001E-3</v>
      </c>
      <c r="U333" s="245"/>
      <c r="V333" s="245"/>
      <c r="W333" s="245"/>
      <c r="X333" s="247"/>
      <c r="Y333" s="242"/>
      <c r="Z333" s="242"/>
      <c r="AA333" s="242"/>
      <c r="AB333" s="242"/>
      <c r="AC333" s="245"/>
      <c r="AD333" s="242"/>
      <c r="AE333" s="242"/>
      <c r="AF333" s="242"/>
      <c r="AG333" s="240"/>
      <c r="AH333" s="248"/>
      <c r="AI333" s="248"/>
    </row>
    <row r="334" spans="1:35" ht="89.25">
      <c r="A334" s="237"/>
      <c r="B334" s="249"/>
      <c r="C334" s="272"/>
      <c r="D334" s="259"/>
      <c r="E334" s="250" t="s">
        <v>1439</v>
      </c>
      <c r="F334" s="249" t="s">
        <v>1454</v>
      </c>
      <c r="G334" s="251"/>
      <c r="H334" s="249" t="s">
        <v>1448</v>
      </c>
      <c r="I334" s="251"/>
      <c r="J334" s="244" t="s">
        <v>1455</v>
      </c>
      <c r="K334" s="251"/>
      <c r="L334" s="249" t="s">
        <v>761</v>
      </c>
      <c r="M334" s="249" t="s">
        <v>1456</v>
      </c>
      <c r="N334" s="242"/>
      <c r="O334" s="249" t="s">
        <v>1444</v>
      </c>
      <c r="P334" s="242"/>
      <c r="Q334" s="255" t="s">
        <v>550</v>
      </c>
      <c r="R334" s="254" t="s">
        <v>550</v>
      </c>
      <c r="S334" s="291"/>
      <c r="T334" s="249" t="s">
        <v>1457</v>
      </c>
      <c r="U334" s="249"/>
      <c r="V334" s="249"/>
      <c r="W334" s="249"/>
      <c r="X334" s="253"/>
      <c r="Y334" s="255"/>
      <c r="Z334" s="255"/>
      <c r="AA334" s="257"/>
      <c r="AB334" s="257"/>
      <c r="AC334" s="257"/>
      <c r="AD334" s="255"/>
      <c r="AE334" s="257"/>
      <c r="AF334" s="255"/>
      <c r="AG334" s="253"/>
      <c r="AH334" s="258"/>
      <c r="AI334" s="258"/>
    </row>
    <row r="335" spans="1:35">
      <c r="A335" s="237">
        <v>220</v>
      </c>
      <c r="B335" s="245" t="s">
        <v>440</v>
      </c>
      <c r="C335" s="239" t="s">
        <v>1458</v>
      </c>
      <c r="D335" s="240"/>
      <c r="E335" s="275">
        <v>169.07400000000001</v>
      </c>
      <c r="F335" s="261">
        <v>10500</v>
      </c>
      <c r="G335" s="261">
        <v>20</v>
      </c>
      <c r="H335" s="276">
        <v>4.0000000000000003E-5</v>
      </c>
      <c r="I335" s="261">
        <v>25</v>
      </c>
      <c r="J335" s="245">
        <v>2.1E-7</v>
      </c>
      <c r="K335" s="243">
        <v>25</v>
      </c>
      <c r="L335" s="276"/>
      <c r="M335" s="242">
        <v>-2.42</v>
      </c>
      <c r="N335" s="242">
        <f t="shared" si="4"/>
        <v>3.8018939632056123E-3</v>
      </c>
      <c r="O335" s="242">
        <v>2.5299999999999998</v>
      </c>
      <c r="P335" s="242">
        <f t="shared" si="5"/>
        <v>338.84415613920248</v>
      </c>
      <c r="Q335" s="245" t="s">
        <v>550</v>
      </c>
      <c r="R335" s="245" t="s">
        <v>550</v>
      </c>
      <c r="S335" s="281"/>
      <c r="T335" s="245">
        <v>0.1</v>
      </c>
      <c r="U335" s="245"/>
      <c r="V335" s="245"/>
      <c r="W335" s="245"/>
      <c r="X335" s="247"/>
      <c r="Y335" s="242"/>
      <c r="Z335" s="242"/>
      <c r="AA335" s="242"/>
      <c r="AB335" s="242"/>
      <c r="AC335" s="245"/>
      <c r="AD335" s="242"/>
      <c r="AE335" s="242"/>
      <c r="AF335" s="242"/>
      <c r="AG335" s="240"/>
      <c r="AH335" s="248"/>
      <c r="AI335" s="248"/>
    </row>
    <row r="336" spans="1:35" ht="89.25">
      <c r="A336" s="237"/>
      <c r="B336" s="249"/>
      <c r="C336" s="239"/>
      <c r="D336" s="240"/>
      <c r="E336" s="250" t="s">
        <v>1439</v>
      </c>
      <c r="F336" s="249" t="s">
        <v>1459</v>
      </c>
      <c r="G336" s="251"/>
      <c r="H336" s="249" t="s">
        <v>1460</v>
      </c>
      <c r="I336" s="251"/>
      <c r="J336" s="244" t="s">
        <v>1442</v>
      </c>
      <c r="K336" s="251"/>
      <c r="L336" s="249" t="s">
        <v>761</v>
      </c>
      <c r="M336" s="249" t="s">
        <v>1461</v>
      </c>
      <c r="N336" s="242"/>
      <c r="O336" s="249" t="s">
        <v>1462</v>
      </c>
      <c r="P336" s="242"/>
      <c r="Q336" s="255" t="s">
        <v>550</v>
      </c>
      <c r="R336" s="254" t="s">
        <v>550</v>
      </c>
      <c r="S336" s="281"/>
      <c r="T336" s="249" t="s">
        <v>1463</v>
      </c>
      <c r="U336" s="256"/>
      <c r="V336" s="249"/>
      <c r="W336" s="249"/>
      <c r="X336" s="253"/>
      <c r="Y336" s="255"/>
      <c r="Z336" s="255"/>
      <c r="AA336" s="257"/>
      <c r="AB336" s="257"/>
      <c r="AC336" s="257"/>
      <c r="AD336" s="255"/>
      <c r="AE336" s="257"/>
      <c r="AF336" s="255"/>
      <c r="AG336" s="253"/>
      <c r="AH336" s="258"/>
      <c r="AI336" s="258"/>
    </row>
    <row r="337" spans="1:35">
      <c r="A337" s="237">
        <v>221</v>
      </c>
      <c r="B337" s="245" t="s">
        <v>441</v>
      </c>
      <c r="C337" s="272" t="s">
        <v>1464</v>
      </c>
      <c r="D337" s="259"/>
      <c r="E337" s="275">
        <v>271.35500000000002</v>
      </c>
      <c r="F337" s="243">
        <v>73</v>
      </c>
      <c r="G337" s="243">
        <v>20</v>
      </c>
      <c r="H337" s="276">
        <v>2.27E-5</v>
      </c>
      <c r="I337" s="261" t="s">
        <v>1532</v>
      </c>
      <c r="J337" s="245">
        <v>8.1000000000000004E-5</v>
      </c>
      <c r="K337" s="243">
        <v>25</v>
      </c>
      <c r="L337" s="245"/>
      <c r="M337" s="242">
        <v>3.27</v>
      </c>
      <c r="N337" s="242">
        <f t="shared" si="4"/>
        <v>1862.0871366628687</v>
      </c>
      <c r="O337" s="242">
        <v>2.84</v>
      </c>
      <c r="P337" s="242">
        <f t="shared" si="5"/>
        <v>691.83097091893671</v>
      </c>
      <c r="Q337" s="245" t="s">
        <v>550</v>
      </c>
      <c r="R337" s="245" t="s">
        <v>550</v>
      </c>
      <c r="S337" s="291"/>
      <c r="T337" s="245">
        <v>0.3</v>
      </c>
      <c r="U337" s="245"/>
      <c r="V337" s="245"/>
      <c r="W337" s="245"/>
      <c r="X337" s="247"/>
      <c r="Y337" s="242"/>
      <c r="Z337" s="242"/>
      <c r="AA337" s="242"/>
      <c r="AB337" s="242"/>
      <c r="AC337" s="245"/>
      <c r="AD337" s="242"/>
      <c r="AE337" s="242"/>
      <c r="AF337" s="242"/>
      <c r="AG337" s="240"/>
      <c r="AH337" s="248"/>
      <c r="AI337" s="248"/>
    </row>
    <row r="338" spans="1:35" ht="76.5">
      <c r="A338" s="237"/>
      <c r="B338" s="249"/>
      <c r="C338" s="272"/>
      <c r="D338" s="259"/>
      <c r="E338" s="250" t="s">
        <v>1465</v>
      </c>
      <c r="F338" s="249" t="s">
        <v>1466</v>
      </c>
      <c r="G338" s="251"/>
      <c r="H338" s="251" t="s">
        <v>1467</v>
      </c>
      <c r="I338" s="251"/>
      <c r="J338" s="244" t="s">
        <v>1442</v>
      </c>
      <c r="K338" s="251"/>
      <c r="L338" s="249" t="s">
        <v>761</v>
      </c>
      <c r="M338" s="249" t="s">
        <v>1468</v>
      </c>
      <c r="N338" s="242"/>
      <c r="O338" s="249" t="s">
        <v>1469</v>
      </c>
      <c r="P338" s="242"/>
      <c r="Q338" s="265" t="s">
        <v>550</v>
      </c>
      <c r="R338" s="265" t="s">
        <v>550</v>
      </c>
      <c r="S338" s="291"/>
      <c r="T338" s="249" t="s">
        <v>1470</v>
      </c>
      <c r="U338" s="256"/>
      <c r="V338" s="249"/>
      <c r="W338" s="249"/>
      <c r="X338" s="253"/>
      <c r="Y338" s="255" t="s">
        <v>550</v>
      </c>
      <c r="Z338" s="255" t="s">
        <v>550</v>
      </c>
      <c r="AA338" s="257" t="s">
        <v>550</v>
      </c>
      <c r="AB338" s="257" t="s">
        <v>550</v>
      </c>
      <c r="AC338" s="257" t="s">
        <v>550</v>
      </c>
      <c r="AD338" s="255" t="s">
        <v>550</v>
      </c>
      <c r="AE338" s="257" t="s">
        <v>550</v>
      </c>
      <c r="AF338" s="255" t="s">
        <v>550</v>
      </c>
      <c r="AG338" s="253"/>
      <c r="AH338" s="258" t="s">
        <v>550</v>
      </c>
      <c r="AI338" s="258" t="s">
        <v>550</v>
      </c>
    </row>
    <row r="339" spans="1:35">
      <c r="A339" s="237">
        <v>222</v>
      </c>
      <c r="B339" s="245" t="s">
        <v>442</v>
      </c>
      <c r="C339" s="272" t="s">
        <v>1471</v>
      </c>
      <c r="D339" s="259"/>
      <c r="E339" s="275">
        <v>217.37200000000001</v>
      </c>
      <c r="F339" s="243">
        <v>46</v>
      </c>
      <c r="G339" s="243">
        <v>20</v>
      </c>
      <c r="H339" s="276">
        <v>0.28699999999999998</v>
      </c>
      <c r="I339" s="261">
        <v>20</v>
      </c>
      <c r="J339" s="245">
        <v>10.4</v>
      </c>
      <c r="K339" s="243">
        <v>25</v>
      </c>
      <c r="L339" s="245"/>
      <c r="M339" s="242">
        <v>3.98</v>
      </c>
      <c r="N339" s="242">
        <f t="shared" si="4"/>
        <v>9549.9258602143691</v>
      </c>
      <c r="O339" s="242">
        <v>2.62</v>
      </c>
      <c r="P339" s="242">
        <f t="shared" si="5"/>
        <v>416.86938347033572</v>
      </c>
      <c r="Q339" s="245" t="s">
        <v>550</v>
      </c>
      <c r="R339" s="245" t="s">
        <v>550</v>
      </c>
      <c r="S339" s="291"/>
      <c r="T339" s="245">
        <v>0.05</v>
      </c>
      <c r="U339" s="245"/>
      <c r="V339" s="245"/>
      <c r="W339" s="245"/>
      <c r="X339" s="247"/>
      <c r="Y339" s="242"/>
      <c r="Z339" s="242"/>
      <c r="AA339" s="242"/>
      <c r="AB339" s="242"/>
      <c r="AC339" s="245"/>
      <c r="AD339" s="242"/>
      <c r="AE339" s="242"/>
      <c r="AF339" s="242"/>
      <c r="AG339" s="240"/>
      <c r="AH339" s="248"/>
      <c r="AI339" s="248"/>
    </row>
    <row r="340" spans="1:35" ht="63.75">
      <c r="A340" s="237"/>
      <c r="B340" s="249"/>
      <c r="C340" s="272"/>
      <c r="D340" s="259"/>
      <c r="E340" s="250" t="s">
        <v>938</v>
      </c>
      <c r="F340" s="249" t="s">
        <v>1472</v>
      </c>
      <c r="G340" s="251"/>
      <c r="H340" s="251" t="s">
        <v>1473</v>
      </c>
      <c r="I340" s="251"/>
      <c r="J340" s="244" t="s">
        <v>1474</v>
      </c>
      <c r="K340" s="251"/>
      <c r="L340" s="249" t="s">
        <v>761</v>
      </c>
      <c r="M340" s="249" t="s">
        <v>1475</v>
      </c>
      <c r="N340" s="242"/>
      <c r="O340" s="249" t="s">
        <v>1476</v>
      </c>
      <c r="P340" s="242"/>
      <c r="Q340" s="265" t="s">
        <v>550</v>
      </c>
      <c r="R340" s="265" t="s">
        <v>550</v>
      </c>
      <c r="S340" s="291"/>
      <c r="T340" s="249" t="s">
        <v>1477</v>
      </c>
      <c r="U340" s="256"/>
      <c r="V340" s="249"/>
      <c r="W340" s="249"/>
      <c r="X340" s="253"/>
      <c r="Y340" s="255" t="s">
        <v>550</v>
      </c>
      <c r="Z340" s="255" t="s">
        <v>550</v>
      </c>
      <c r="AA340" s="257" t="s">
        <v>550</v>
      </c>
      <c r="AB340" s="257" t="s">
        <v>550</v>
      </c>
      <c r="AC340" s="257" t="s">
        <v>550</v>
      </c>
      <c r="AD340" s="255" t="s">
        <v>550</v>
      </c>
      <c r="AE340" s="257" t="s">
        <v>550</v>
      </c>
      <c r="AF340" s="255" t="s">
        <v>550</v>
      </c>
      <c r="AG340" s="253"/>
      <c r="AH340" s="258" t="s">
        <v>550</v>
      </c>
      <c r="AI340" s="258" t="s">
        <v>550</v>
      </c>
    </row>
    <row r="341" spans="1:35">
      <c r="A341" s="237">
        <v>223</v>
      </c>
      <c r="B341" s="238" t="s">
        <v>443</v>
      </c>
      <c r="C341" s="239" t="s">
        <v>1478</v>
      </c>
      <c r="D341" s="240"/>
      <c r="E341" s="275">
        <v>187.30199999999999</v>
      </c>
      <c r="F341" s="235">
        <v>880</v>
      </c>
      <c r="G341" s="261">
        <v>20</v>
      </c>
      <c r="H341" s="245">
        <v>0.748</v>
      </c>
      <c r="I341" s="243">
        <v>20</v>
      </c>
      <c r="J341" s="245">
        <v>0.46</v>
      </c>
      <c r="K341" s="243">
        <v>20</v>
      </c>
      <c r="L341" s="245"/>
      <c r="M341" s="242">
        <v>3.1</v>
      </c>
      <c r="N341" s="242">
        <f t="shared" si="4"/>
        <v>1258.925411794168</v>
      </c>
      <c r="O341" s="242">
        <v>2.06</v>
      </c>
      <c r="P341" s="242">
        <f t="shared" si="5"/>
        <v>114.81536214968835</v>
      </c>
      <c r="Q341" s="245" t="s">
        <v>550</v>
      </c>
      <c r="R341" s="245" t="s">
        <v>550</v>
      </c>
      <c r="S341" s="280"/>
      <c r="T341" s="245">
        <v>2E-3</v>
      </c>
      <c r="U341" s="245"/>
      <c r="V341" s="245"/>
      <c r="W341" s="245"/>
      <c r="X341" s="247"/>
      <c r="Y341" s="242"/>
      <c r="Z341" s="242"/>
      <c r="AA341" s="245"/>
      <c r="AB341" s="242"/>
      <c r="AC341" s="245"/>
      <c r="AD341" s="242"/>
      <c r="AE341" s="242"/>
      <c r="AF341" s="245"/>
      <c r="AG341" s="240"/>
      <c r="AH341" s="248"/>
      <c r="AI341" s="248"/>
    </row>
    <row r="342" spans="1:35" ht="102">
      <c r="A342" s="237"/>
      <c r="B342" s="249"/>
      <c r="C342" s="239"/>
      <c r="D342" s="240"/>
      <c r="E342" s="250" t="s">
        <v>1465</v>
      </c>
      <c r="F342" s="256" t="s">
        <v>1479</v>
      </c>
      <c r="G342" s="264"/>
      <c r="H342" s="251" t="s">
        <v>1480</v>
      </c>
      <c r="I342" s="251"/>
      <c r="J342" s="244" t="s">
        <v>1481</v>
      </c>
      <c r="K342" s="251"/>
      <c r="L342" s="249" t="s">
        <v>761</v>
      </c>
      <c r="M342" s="249" t="s">
        <v>1482</v>
      </c>
      <c r="N342" s="242"/>
      <c r="O342" s="249" t="s">
        <v>1483</v>
      </c>
      <c r="P342" s="242"/>
      <c r="Q342" s="265" t="s">
        <v>550</v>
      </c>
      <c r="R342" s="265" t="s">
        <v>550</v>
      </c>
      <c r="S342" s="281"/>
      <c r="T342" s="249" t="s">
        <v>1484</v>
      </c>
      <c r="U342" s="254"/>
      <c r="V342" s="249"/>
      <c r="W342" s="249"/>
      <c r="X342" s="253"/>
      <c r="Y342" s="254"/>
      <c r="Z342" s="255" t="s">
        <v>550</v>
      </c>
      <c r="AA342" s="256"/>
      <c r="AB342" s="257" t="s">
        <v>550</v>
      </c>
      <c r="AC342" s="256"/>
      <c r="AD342" s="255"/>
      <c r="AE342" s="257"/>
      <c r="AF342" s="256"/>
      <c r="AG342" s="253"/>
      <c r="AH342" s="258" t="s">
        <v>550</v>
      </c>
      <c r="AI342" s="258" t="s">
        <v>550</v>
      </c>
    </row>
    <row r="343" spans="1:35">
      <c r="A343" s="237">
        <v>224</v>
      </c>
      <c r="B343" s="245" t="s">
        <v>444</v>
      </c>
      <c r="C343" s="239" t="s">
        <v>1485</v>
      </c>
      <c r="D343" s="240"/>
      <c r="E343" s="275">
        <v>251.39</v>
      </c>
      <c r="F343" s="245">
        <v>13.2</v>
      </c>
      <c r="G343" s="243">
        <v>20</v>
      </c>
      <c r="H343" s="276">
        <v>7.9000000000000001E-4</v>
      </c>
      <c r="I343" s="261">
        <v>25</v>
      </c>
      <c r="J343" s="245">
        <v>1.52E-2</v>
      </c>
      <c r="K343" s="243">
        <v>25</v>
      </c>
      <c r="L343" s="245"/>
      <c r="M343" s="242">
        <v>4.4800000000000004</v>
      </c>
      <c r="N343" s="242">
        <f t="shared" si="4"/>
        <v>30199.517204020212</v>
      </c>
      <c r="O343" s="242">
        <v>4.09</v>
      </c>
      <c r="P343" s="242">
        <f t="shared" si="5"/>
        <v>12302.687708123816</v>
      </c>
      <c r="Q343" s="245" t="s">
        <v>550</v>
      </c>
      <c r="R343" s="245" t="s">
        <v>550</v>
      </c>
      <c r="S343" s="281"/>
      <c r="T343" s="245">
        <v>5.0000000000000001E-3</v>
      </c>
      <c r="U343" s="276"/>
      <c r="V343" s="245"/>
      <c r="W343" s="245"/>
      <c r="X343" s="247"/>
      <c r="Y343" s="242"/>
      <c r="Z343" s="242"/>
      <c r="AA343" s="245"/>
      <c r="AB343" s="242"/>
      <c r="AC343" s="245"/>
      <c r="AD343" s="242"/>
      <c r="AE343" s="242"/>
      <c r="AF343" s="245"/>
      <c r="AG343" s="240"/>
      <c r="AH343" s="248"/>
      <c r="AI343" s="248"/>
    </row>
    <row r="344" spans="1:35" ht="51">
      <c r="A344" s="237"/>
      <c r="B344" s="283"/>
      <c r="C344" s="239"/>
      <c r="D344" s="240"/>
      <c r="E344" s="284" t="s">
        <v>1486</v>
      </c>
      <c r="F344" s="283" t="s">
        <v>1487</v>
      </c>
      <c r="G344" s="285"/>
      <c r="H344" s="283" t="s">
        <v>1488</v>
      </c>
      <c r="I344" s="285"/>
      <c r="J344" s="298" t="s">
        <v>1489</v>
      </c>
      <c r="K344" s="251"/>
      <c r="L344" s="249" t="s">
        <v>761</v>
      </c>
      <c r="M344" s="283" t="s">
        <v>1486</v>
      </c>
      <c r="N344" s="242"/>
      <c r="O344" s="249" t="s">
        <v>1444</v>
      </c>
      <c r="P344" s="242"/>
      <c r="Q344" s="265" t="s">
        <v>550</v>
      </c>
      <c r="R344" s="265" t="s">
        <v>550</v>
      </c>
      <c r="S344" s="286"/>
      <c r="T344" s="249" t="s">
        <v>1490</v>
      </c>
      <c r="U344" s="249"/>
      <c r="V344" s="249"/>
      <c r="W344" s="249"/>
      <c r="X344" s="253"/>
      <c r="Y344" s="254"/>
      <c r="Z344" s="255" t="s">
        <v>550</v>
      </c>
      <c r="AA344" s="256"/>
      <c r="AB344" s="257" t="s">
        <v>550</v>
      </c>
      <c r="AC344" s="256"/>
      <c r="AD344" s="255" t="s">
        <v>550</v>
      </c>
      <c r="AE344" s="257" t="s">
        <v>550</v>
      </c>
      <c r="AF344" s="256"/>
      <c r="AG344" s="253"/>
      <c r="AH344" s="258" t="s">
        <v>550</v>
      </c>
      <c r="AI344" s="258" t="s">
        <v>550</v>
      </c>
    </row>
    <row r="345" spans="1:35">
      <c r="A345" s="237">
        <v>225</v>
      </c>
      <c r="B345" s="245" t="s">
        <v>445</v>
      </c>
      <c r="C345" s="239" t="s">
        <v>1491</v>
      </c>
      <c r="D345" s="240"/>
      <c r="E345" s="275">
        <v>203.345</v>
      </c>
      <c r="F345" s="245">
        <v>90</v>
      </c>
      <c r="G345" s="243">
        <v>20</v>
      </c>
      <c r="H345" s="276">
        <v>0.9</v>
      </c>
      <c r="I345" s="261">
        <v>20</v>
      </c>
      <c r="J345" s="245">
        <v>3.13</v>
      </c>
      <c r="K345" s="243">
        <v>25</v>
      </c>
      <c r="L345" s="245"/>
      <c r="M345" s="242">
        <v>3.84</v>
      </c>
      <c r="N345" s="242">
        <f t="shared" si="4"/>
        <v>6918.3097091893687</v>
      </c>
      <c r="O345" s="242">
        <v>2.27</v>
      </c>
      <c r="P345" s="242">
        <f t="shared" si="5"/>
        <v>186.20871366628685</v>
      </c>
      <c r="Q345" s="245" t="s">
        <v>550</v>
      </c>
      <c r="R345" s="245" t="s">
        <v>550</v>
      </c>
      <c r="S345" s="281"/>
      <c r="T345" s="245">
        <v>1E-3</v>
      </c>
      <c r="U345" s="276"/>
      <c r="V345" s="245"/>
      <c r="W345" s="245"/>
      <c r="X345" s="247"/>
      <c r="Y345" s="242"/>
      <c r="Z345" s="242"/>
      <c r="AA345" s="245"/>
      <c r="AB345" s="242"/>
      <c r="AC345" s="245"/>
      <c r="AD345" s="242"/>
      <c r="AE345" s="242"/>
      <c r="AF345" s="245"/>
      <c r="AG345" s="240"/>
      <c r="AH345" s="248"/>
      <c r="AI345" s="248"/>
    </row>
    <row r="346" spans="1:35" ht="63.75">
      <c r="A346" s="237"/>
      <c r="B346" s="249"/>
      <c r="C346" s="239"/>
      <c r="D346" s="240"/>
      <c r="E346" s="250" t="s">
        <v>1465</v>
      </c>
      <c r="F346" s="249" t="s">
        <v>1492</v>
      </c>
      <c r="G346" s="251"/>
      <c r="H346" s="251" t="s">
        <v>1493</v>
      </c>
      <c r="I346" s="251"/>
      <c r="J346" s="244" t="s">
        <v>1442</v>
      </c>
      <c r="K346" s="251"/>
      <c r="L346" s="249" t="s">
        <v>761</v>
      </c>
      <c r="M346" s="249" t="s">
        <v>1494</v>
      </c>
      <c r="N346" s="242"/>
      <c r="O346" s="249" t="s">
        <v>1495</v>
      </c>
      <c r="P346" s="242"/>
      <c r="Q346" s="265" t="s">
        <v>550</v>
      </c>
      <c r="R346" s="265" t="s">
        <v>550</v>
      </c>
      <c r="S346" s="286"/>
      <c r="T346" s="249" t="s">
        <v>1496</v>
      </c>
      <c r="U346" s="249"/>
      <c r="V346" s="249"/>
      <c r="W346" s="249"/>
      <c r="X346" s="253"/>
      <c r="Y346" s="254"/>
      <c r="Z346" s="255" t="s">
        <v>550</v>
      </c>
      <c r="AA346" s="256"/>
      <c r="AB346" s="257" t="s">
        <v>550</v>
      </c>
      <c r="AC346" s="256"/>
      <c r="AD346" s="255" t="s">
        <v>550</v>
      </c>
      <c r="AE346" s="257" t="s">
        <v>550</v>
      </c>
      <c r="AF346" s="256"/>
      <c r="AG346" s="253"/>
      <c r="AH346" s="258" t="s">
        <v>550</v>
      </c>
      <c r="AI346" s="258" t="s">
        <v>550</v>
      </c>
    </row>
    <row r="347" spans="1:35">
      <c r="A347" s="237">
        <v>237</v>
      </c>
      <c r="B347" s="288" t="s">
        <v>457</v>
      </c>
      <c r="C347" s="239" t="s">
        <v>1166</v>
      </c>
      <c r="D347" s="240"/>
      <c r="E347" s="241">
        <v>62.067999999999998</v>
      </c>
      <c r="F347" s="245">
        <v>1000000</v>
      </c>
      <c r="G347" s="243" t="s">
        <v>550</v>
      </c>
      <c r="H347" s="276">
        <v>2.8</v>
      </c>
      <c r="I347" s="261">
        <v>10</v>
      </c>
      <c r="J347" s="276">
        <v>6.0000000000000001E-3</v>
      </c>
      <c r="K347" s="261">
        <v>25</v>
      </c>
      <c r="L347" s="276" t="s">
        <v>550</v>
      </c>
      <c r="M347" s="235">
        <v>-1.45</v>
      </c>
      <c r="N347" s="242">
        <f>10^M347</f>
        <v>3.548133892335753E-2</v>
      </c>
      <c r="O347" s="235">
        <v>-1.84</v>
      </c>
      <c r="P347" s="242">
        <f>10^O347</f>
        <v>1.4454397707459272E-2</v>
      </c>
      <c r="Q347" s="235" t="s">
        <v>550</v>
      </c>
      <c r="R347" s="235" t="s">
        <v>550</v>
      </c>
      <c r="S347" s="280"/>
      <c r="T347" s="276">
        <v>2</v>
      </c>
      <c r="U347" s="276">
        <v>0.4</v>
      </c>
      <c r="V347" s="238"/>
      <c r="W347" s="238"/>
      <c r="X347" s="240"/>
      <c r="Y347" s="242"/>
      <c r="Z347" s="242"/>
      <c r="AA347" s="242"/>
      <c r="AB347" s="242"/>
      <c r="AC347" s="245"/>
      <c r="AD347" s="242"/>
      <c r="AE347" s="242"/>
      <c r="AF347" s="242"/>
      <c r="AG347" s="240"/>
      <c r="AH347" s="248"/>
      <c r="AI347" s="248"/>
    </row>
    <row r="348" spans="1:35" ht="102">
      <c r="A348" s="237"/>
      <c r="B348" s="249"/>
      <c r="C348" s="239"/>
      <c r="D348" s="240"/>
      <c r="E348" s="250" t="s">
        <v>938</v>
      </c>
      <c r="F348" s="249" t="s">
        <v>1167</v>
      </c>
      <c r="G348" s="251"/>
      <c r="H348" s="249" t="s">
        <v>1168</v>
      </c>
      <c r="I348" s="251"/>
      <c r="J348" s="244" t="s">
        <v>1169</v>
      </c>
      <c r="K348" s="251"/>
      <c r="L348" s="254" t="s">
        <v>761</v>
      </c>
      <c r="M348" s="251" t="s">
        <v>1170</v>
      </c>
      <c r="N348" s="242"/>
      <c r="O348" s="254" t="s">
        <v>1171</v>
      </c>
      <c r="P348" s="242"/>
      <c r="Q348" s="257" t="s">
        <v>550</v>
      </c>
      <c r="R348" s="256" t="s">
        <v>550</v>
      </c>
      <c r="S348" s="281"/>
      <c r="T348" s="256" t="s">
        <v>1172</v>
      </c>
      <c r="U348" s="256" t="s">
        <v>1173</v>
      </c>
      <c r="V348" s="249"/>
      <c r="W348" s="249"/>
      <c r="X348" s="253"/>
      <c r="Y348" s="255" t="s">
        <v>550</v>
      </c>
      <c r="Z348" s="255" t="s">
        <v>550</v>
      </c>
      <c r="AA348" s="257" t="s">
        <v>550</v>
      </c>
      <c r="AB348" s="257" t="s">
        <v>550</v>
      </c>
      <c r="AC348" s="257" t="s">
        <v>550</v>
      </c>
      <c r="AD348" s="255" t="s">
        <v>550</v>
      </c>
      <c r="AE348" s="257" t="s">
        <v>550</v>
      </c>
      <c r="AF348" s="255" t="s">
        <v>550</v>
      </c>
      <c r="AG348" s="253"/>
      <c r="AH348" s="258" t="s">
        <v>550</v>
      </c>
      <c r="AI348" s="258" t="s">
        <v>550</v>
      </c>
    </row>
    <row r="349" spans="1:35" ht="15">
      <c r="A349" s="310">
        <v>238</v>
      </c>
      <c r="B349" s="384" t="s">
        <v>1546</v>
      </c>
      <c r="C349" s="112" t="s">
        <v>1551</v>
      </c>
      <c r="D349" s="317"/>
      <c r="E349" s="398">
        <v>121.18</v>
      </c>
      <c r="F349" s="399">
        <v>1540</v>
      </c>
      <c r="G349" s="310">
        <v>20</v>
      </c>
      <c r="H349" s="400">
        <v>93.32</v>
      </c>
      <c r="I349" s="310">
        <v>25</v>
      </c>
      <c r="J349" s="418">
        <v>5.7549999999999999</v>
      </c>
      <c r="K349" s="310">
        <v>20</v>
      </c>
      <c r="L349" s="276" t="s">
        <v>550</v>
      </c>
      <c r="M349" s="399">
        <v>2.31</v>
      </c>
      <c r="N349" s="242">
        <f>10^M349</f>
        <v>204.17379446695315</v>
      </c>
      <c r="O349" s="399">
        <v>2.13</v>
      </c>
      <c r="P349" s="242">
        <f>10^O349</f>
        <v>134.89628825916537</v>
      </c>
      <c r="Q349" s="408">
        <v>5.0999999999999996</v>
      </c>
      <c r="R349" s="410">
        <v>1</v>
      </c>
      <c r="T349" s="412">
        <v>2E-3</v>
      </c>
      <c r="U349" s="310"/>
      <c r="V349" s="414"/>
      <c r="W349" s="416"/>
      <c r="Y349" s="312"/>
      <c r="Z349" s="312"/>
      <c r="AA349" s="312"/>
      <c r="AB349" s="312"/>
      <c r="AC349" s="312"/>
      <c r="AD349" s="312"/>
      <c r="AE349" s="312"/>
      <c r="AF349" s="312"/>
      <c r="AH349" s="310"/>
      <c r="AI349" s="310"/>
    </row>
    <row r="350" spans="1:35" ht="45">
      <c r="A350" s="310"/>
      <c r="B350" s="310"/>
      <c r="C350" s="310"/>
      <c r="D350" s="317"/>
      <c r="E350" s="397" t="s">
        <v>1553</v>
      </c>
      <c r="F350" s="401" t="s">
        <v>1555</v>
      </c>
      <c r="G350" s="310"/>
      <c r="H350" s="404" t="s">
        <v>1556</v>
      </c>
      <c r="I350" s="310"/>
      <c r="J350" s="418" t="s">
        <v>1567</v>
      </c>
      <c r="K350" s="310"/>
      <c r="L350" s="254" t="s">
        <v>761</v>
      </c>
      <c r="M350" s="405" t="s">
        <v>1558</v>
      </c>
      <c r="N350" s="310"/>
      <c r="O350" s="406" t="s">
        <v>1559</v>
      </c>
      <c r="P350" s="310"/>
      <c r="Q350" s="407" t="s">
        <v>1561</v>
      </c>
      <c r="R350" s="409" t="s">
        <v>1563</v>
      </c>
      <c r="T350" s="411" t="s">
        <v>1564</v>
      </c>
      <c r="U350" s="310"/>
      <c r="V350" s="413"/>
      <c r="W350" s="415"/>
      <c r="Y350" s="312"/>
      <c r="Z350" s="312"/>
      <c r="AA350" s="312"/>
      <c r="AB350" s="312"/>
      <c r="AC350" s="312"/>
      <c r="AD350" s="312"/>
      <c r="AE350" s="312"/>
      <c r="AF350" s="312"/>
      <c r="AH350" s="310"/>
      <c r="AI350" s="310"/>
    </row>
    <row r="351" spans="1:35" ht="15">
      <c r="A351" s="310">
        <v>241</v>
      </c>
      <c r="B351" s="384" t="s">
        <v>1549</v>
      </c>
      <c r="C351" s="396" t="s">
        <v>1552</v>
      </c>
      <c r="D351" s="317"/>
      <c r="E351" s="398">
        <v>107.15300000000001</v>
      </c>
      <c r="F351" s="402">
        <v>16330</v>
      </c>
      <c r="G351" s="310">
        <v>20</v>
      </c>
      <c r="H351" s="403">
        <v>34.659999999999997</v>
      </c>
      <c r="I351" s="310">
        <v>25</v>
      </c>
      <c r="J351" s="418">
        <v>0.20100000000000001</v>
      </c>
      <c r="K351" s="310">
        <v>20</v>
      </c>
      <c r="L351" s="276" t="s">
        <v>550</v>
      </c>
      <c r="M351" s="399">
        <v>1.32</v>
      </c>
      <c r="N351" s="242">
        <f>10^M351</f>
        <v>20.8929613085404</v>
      </c>
      <c r="O351" s="399">
        <v>1.24</v>
      </c>
      <c r="P351" s="242">
        <f>10^O351</f>
        <v>17.378008287493756</v>
      </c>
      <c r="Q351" s="408">
        <v>4.4400000000000004</v>
      </c>
      <c r="R351" s="410">
        <v>1</v>
      </c>
      <c r="T351" s="412"/>
      <c r="U351" s="310"/>
      <c r="V351" s="414">
        <v>5.5500000000000001E-5</v>
      </c>
      <c r="W351" s="416">
        <v>1.9599999999999999E-4</v>
      </c>
      <c r="Y351" s="312"/>
      <c r="Z351" s="312"/>
      <c r="AA351" s="312"/>
      <c r="AB351" s="312"/>
      <c r="AC351" s="312"/>
      <c r="AD351" s="312"/>
      <c r="AE351" s="312"/>
      <c r="AF351" s="312"/>
      <c r="AH351" s="310"/>
      <c r="AI351" s="310"/>
    </row>
    <row r="352" spans="1:35" ht="78.75">
      <c r="A352" s="310"/>
      <c r="B352" s="310"/>
      <c r="C352" s="310"/>
      <c r="D352" s="317"/>
      <c r="E352" s="397" t="s">
        <v>1554</v>
      </c>
      <c r="F352" s="401" t="s">
        <v>1555</v>
      </c>
      <c r="G352" s="310"/>
      <c r="H352" s="404" t="s">
        <v>1557</v>
      </c>
      <c r="I352" s="310"/>
      <c r="J352" s="417" t="s">
        <v>1568</v>
      </c>
      <c r="K352" s="310"/>
      <c r="L352" s="254" t="s">
        <v>761</v>
      </c>
      <c r="M352" s="405" t="s">
        <v>1558</v>
      </c>
      <c r="N352" s="310"/>
      <c r="O352" s="406" t="s">
        <v>1560</v>
      </c>
      <c r="P352" s="310"/>
      <c r="Q352" s="407" t="s">
        <v>1562</v>
      </c>
      <c r="R352" s="409" t="s">
        <v>1563</v>
      </c>
      <c r="T352" s="411"/>
      <c r="U352" s="310"/>
      <c r="V352" s="413" t="s">
        <v>1565</v>
      </c>
      <c r="W352" s="415" t="s">
        <v>1566</v>
      </c>
      <c r="Y352" s="312"/>
      <c r="Z352" s="312"/>
      <c r="AA352" s="312"/>
      <c r="AB352" s="312"/>
      <c r="AC352" s="312"/>
      <c r="AD352" s="312"/>
      <c r="AE352" s="312"/>
      <c r="AF352" s="312"/>
      <c r="AH352" s="310"/>
      <c r="AI352" s="310"/>
    </row>
    <row r="353" spans="1:33" s="313" customFormat="1">
      <c r="A353" s="316"/>
      <c r="B353" s="316"/>
      <c r="C353" s="318"/>
      <c r="D353" s="317"/>
      <c r="S353" s="226"/>
      <c r="X353" s="225"/>
      <c r="Y353" s="314"/>
      <c r="Z353" s="314"/>
      <c r="AA353" s="314"/>
      <c r="AB353" s="314"/>
      <c r="AC353" s="314"/>
      <c r="AD353" s="314"/>
      <c r="AE353" s="314"/>
      <c r="AF353" s="314"/>
      <c r="AG353" s="225"/>
    </row>
    <row r="354" spans="1:33" s="313" customFormat="1">
      <c r="A354" s="316"/>
      <c r="B354" s="316"/>
      <c r="C354" s="318"/>
      <c r="D354" s="317"/>
      <c r="S354" s="226"/>
      <c r="X354" s="225"/>
      <c r="Y354" s="314"/>
      <c r="Z354" s="314"/>
      <c r="AA354" s="314"/>
      <c r="AB354" s="314"/>
      <c r="AC354" s="314"/>
      <c r="AD354" s="314"/>
      <c r="AE354" s="314"/>
      <c r="AF354" s="314"/>
      <c r="AG354" s="225"/>
    </row>
    <row r="355" spans="1:33" s="313" customFormat="1">
      <c r="A355" s="316"/>
      <c r="B355" s="316"/>
      <c r="C355" s="318"/>
      <c r="D355" s="317"/>
      <c r="S355" s="226"/>
      <c r="X355" s="225"/>
      <c r="Y355" s="314"/>
      <c r="Z355" s="314"/>
      <c r="AA355" s="314"/>
      <c r="AB355" s="314"/>
      <c r="AC355" s="314"/>
      <c r="AD355" s="314"/>
      <c r="AE355" s="314"/>
      <c r="AF355" s="314"/>
      <c r="AG355" s="225"/>
    </row>
    <row r="356" spans="1:33" s="313" customFormat="1">
      <c r="A356" s="316"/>
      <c r="B356" s="316"/>
      <c r="C356" s="318"/>
      <c r="D356" s="317"/>
      <c r="S356" s="226"/>
      <c r="X356" s="225"/>
      <c r="Y356" s="314"/>
      <c r="Z356" s="314"/>
      <c r="AA356" s="314"/>
      <c r="AB356" s="314"/>
      <c r="AC356" s="314"/>
      <c r="AD356" s="314"/>
      <c r="AE356" s="314"/>
      <c r="AF356" s="314"/>
      <c r="AG356" s="225"/>
    </row>
    <row r="357" spans="1:33" s="313" customFormat="1">
      <c r="A357" s="316"/>
      <c r="B357" s="316"/>
      <c r="C357" s="318"/>
      <c r="D357" s="317"/>
      <c r="S357" s="226"/>
      <c r="X357" s="225"/>
      <c r="Y357" s="314"/>
      <c r="Z357" s="314"/>
      <c r="AA357" s="314"/>
      <c r="AB357" s="314"/>
      <c r="AC357" s="314"/>
      <c r="AD357" s="314"/>
      <c r="AE357" s="314"/>
      <c r="AF357" s="314"/>
      <c r="AG357" s="225"/>
    </row>
    <row r="358" spans="1:33" s="313" customFormat="1">
      <c r="A358" s="316"/>
      <c r="B358" s="316"/>
      <c r="C358" s="318"/>
      <c r="D358" s="317"/>
      <c r="S358" s="226"/>
      <c r="X358" s="225"/>
      <c r="Y358" s="314"/>
      <c r="Z358" s="314"/>
      <c r="AA358" s="314"/>
      <c r="AB358" s="314"/>
      <c r="AC358" s="314"/>
      <c r="AD358" s="314"/>
      <c r="AE358" s="314"/>
      <c r="AF358" s="314"/>
      <c r="AG358" s="225"/>
    </row>
    <row r="359" spans="1:33" s="313" customFormat="1">
      <c r="A359" s="316"/>
      <c r="B359" s="316"/>
      <c r="C359" s="318"/>
      <c r="D359" s="317"/>
      <c r="S359" s="226"/>
      <c r="X359" s="225"/>
      <c r="Y359" s="314"/>
      <c r="Z359" s="314"/>
      <c r="AA359" s="314"/>
      <c r="AB359" s="314"/>
      <c r="AC359" s="314"/>
      <c r="AD359" s="314"/>
      <c r="AE359" s="314"/>
      <c r="AF359" s="314"/>
      <c r="AG359" s="225"/>
    </row>
    <row r="360" spans="1:33" s="313" customFormat="1">
      <c r="A360" s="316"/>
      <c r="B360" s="316"/>
      <c r="C360" s="318"/>
      <c r="D360" s="317"/>
      <c r="S360" s="226"/>
      <c r="X360" s="225"/>
      <c r="Y360" s="314"/>
      <c r="Z360" s="314"/>
      <c r="AA360" s="314"/>
      <c r="AB360" s="314"/>
      <c r="AC360" s="314"/>
      <c r="AD360" s="314"/>
      <c r="AE360" s="314"/>
      <c r="AF360" s="314"/>
      <c r="AG360" s="225"/>
    </row>
    <row r="361" spans="1:33" s="313" customFormat="1">
      <c r="A361" s="316"/>
      <c r="B361" s="316"/>
      <c r="C361" s="318"/>
      <c r="D361" s="317"/>
      <c r="S361" s="226"/>
      <c r="X361" s="225"/>
      <c r="Y361" s="314"/>
      <c r="Z361" s="314"/>
      <c r="AA361" s="314"/>
      <c r="AB361" s="314"/>
      <c r="AC361" s="314"/>
      <c r="AD361" s="314"/>
      <c r="AE361" s="314"/>
      <c r="AF361" s="314"/>
      <c r="AG361" s="225"/>
    </row>
    <row r="362" spans="1:33" s="313" customFormat="1">
      <c r="A362" s="316"/>
      <c r="B362" s="316"/>
      <c r="C362" s="318"/>
      <c r="D362" s="317"/>
      <c r="S362" s="226"/>
      <c r="X362" s="225"/>
      <c r="Y362" s="314"/>
      <c r="Z362" s="314"/>
      <c r="AA362" s="314"/>
      <c r="AB362" s="314"/>
      <c r="AC362" s="314"/>
      <c r="AD362" s="314"/>
      <c r="AE362" s="314"/>
      <c r="AF362" s="314"/>
      <c r="AG362" s="225"/>
    </row>
    <row r="363" spans="1:33" s="313" customFormat="1">
      <c r="A363" s="316"/>
      <c r="B363" s="316"/>
      <c r="C363" s="318"/>
      <c r="D363" s="317"/>
      <c r="S363" s="226"/>
      <c r="X363" s="225"/>
      <c r="Y363" s="314"/>
      <c r="Z363" s="314"/>
      <c r="AA363" s="314"/>
      <c r="AB363" s="314"/>
      <c r="AC363" s="314"/>
      <c r="AD363" s="314"/>
      <c r="AE363" s="314"/>
      <c r="AF363" s="314"/>
      <c r="AG363" s="225"/>
    </row>
    <row r="364" spans="1:33" s="313" customFormat="1">
      <c r="A364" s="316"/>
      <c r="B364" s="316"/>
      <c r="C364" s="318"/>
      <c r="D364" s="317"/>
      <c r="S364" s="226"/>
      <c r="X364" s="225"/>
      <c r="Y364" s="314"/>
      <c r="Z364" s="314"/>
      <c r="AA364" s="314"/>
      <c r="AB364" s="314"/>
      <c r="AC364" s="314"/>
      <c r="AD364" s="314"/>
      <c r="AE364" s="314"/>
      <c r="AF364" s="314"/>
      <c r="AG364" s="225"/>
    </row>
    <row r="365" spans="1:33" s="313" customFormat="1">
      <c r="C365" s="318"/>
      <c r="D365" s="317"/>
      <c r="S365" s="226"/>
      <c r="X365" s="225"/>
      <c r="Y365" s="314"/>
      <c r="Z365" s="314"/>
      <c r="AA365" s="314"/>
      <c r="AB365" s="314"/>
      <c r="AC365" s="314"/>
      <c r="AD365" s="314"/>
      <c r="AE365" s="314"/>
      <c r="AF365" s="314"/>
      <c r="AG365" s="225"/>
    </row>
    <row r="366" spans="1:33" s="313" customFormat="1">
      <c r="C366" s="318"/>
      <c r="D366" s="317"/>
      <c r="S366" s="226"/>
      <c r="X366" s="225"/>
      <c r="Y366" s="314"/>
      <c r="Z366" s="314"/>
      <c r="AA366" s="314"/>
      <c r="AB366" s="314"/>
      <c r="AC366" s="314"/>
      <c r="AD366" s="314"/>
      <c r="AE366" s="314"/>
      <c r="AF366" s="314"/>
      <c r="AG366" s="225"/>
    </row>
  </sheetData>
  <mergeCells count="34">
    <mergeCell ref="AH1:AI1"/>
    <mergeCell ref="A2:A4"/>
    <mergeCell ref="B2:B4"/>
    <mergeCell ref="C2:C4"/>
    <mergeCell ref="E2:E3"/>
    <mergeCell ref="K2:K3"/>
    <mergeCell ref="A1:C1"/>
    <mergeCell ref="E1:R1"/>
    <mergeCell ref="T1:W1"/>
    <mergeCell ref="Y1:AF1"/>
    <mergeCell ref="F2:F3"/>
    <mergeCell ref="G2:G3"/>
    <mergeCell ref="H2:H3"/>
    <mergeCell ref="I2:I3"/>
    <mergeCell ref="J2:J3"/>
    <mergeCell ref="AA2:AA3"/>
    <mergeCell ref="L2:L3"/>
    <mergeCell ref="M2:M3"/>
    <mergeCell ref="N2:N3"/>
    <mergeCell ref="O2:O3"/>
    <mergeCell ref="P2:P3"/>
    <mergeCell ref="Q2:Q3"/>
    <mergeCell ref="R2:R3"/>
    <mergeCell ref="T2:U2"/>
    <mergeCell ref="V2:W2"/>
    <mergeCell ref="Y2:Y3"/>
    <mergeCell ref="Z2:Z3"/>
    <mergeCell ref="AI2:AI3"/>
    <mergeCell ref="AB2:AB3"/>
    <mergeCell ref="AC2:AC3"/>
    <mergeCell ref="AD2:AD3"/>
    <mergeCell ref="AE2:AE3"/>
    <mergeCell ref="AF2:AF3"/>
    <mergeCell ref="AH2:AH3"/>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sheetPr>
    <tabColor theme="3"/>
  </sheetPr>
  <dimension ref="B2:E32"/>
  <sheetViews>
    <sheetView tabSelected="1" workbookViewId="0">
      <selection activeCell="C12" sqref="C12"/>
    </sheetView>
  </sheetViews>
  <sheetFormatPr baseColWidth="10" defaultRowHeight="15"/>
  <cols>
    <col min="1" max="1" width="5.140625" customWidth="1"/>
    <col min="3" max="3" width="24.42578125" customWidth="1"/>
    <col min="4" max="4" width="17.5703125" customWidth="1"/>
    <col min="5" max="5" width="94.140625" customWidth="1"/>
  </cols>
  <sheetData>
    <row r="2" spans="2:5">
      <c r="B2" s="204" t="s">
        <v>615</v>
      </c>
    </row>
    <row r="4" spans="2:5">
      <c r="B4" s="205" t="s">
        <v>459</v>
      </c>
      <c r="C4" s="205" t="s">
        <v>616</v>
      </c>
      <c r="D4" s="205" t="s">
        <v>617</v>
      </c>
      <c r="E4" s="205" t="s">
        <v>618</v>
      </c>
    </row>
    <row r="5" spans="2:5">
      <c r="B5" s="206"/>
      <c r="C5" s="207"/>
      <c r="D5" s="207"/>
      <c r="E5" s="207"/>
    </row>
    <row r="6" spans="2:5">
      <c r="B6" s="615" t="s">
        <v>619</v>
      </c>
      <c r="C6" s="616"/>
      <c r="D6" s="616"/>
      <c r="E6" s="617"/>
    </row>
    <row r="7" spans="2:5">
      <c r="B7" s="206"/>
      <c r="C7" s="207"/>
      <c r="D7" s="207"/>
      <c r="E7" s="207"/>
    </row>
    <row r="8" spans="2:5" ht="45">
      <c r="B8" s="208" t="s">
        <v>468</v>
      </c>
      <c r="C8" s="454" t="s">
        <v>1876</v>
      </c>
      <c r="D8" s="208" t="s">
        <v>470</v>
      </c>
      <c r="E8" s="211" t="s">
        <v>620</v>
      </c>
    </row>
    <row r="9" spans="2:5" ht="30">
      <c r="B9" s="208" t="s">
        <v>471</v>
      </c>
      <c r="C9" s="209" t="s">
        <v>472</v>
      </c>
      <c r="D9" s="208" t="s">
        <v>219</v>
      </c>
      <c r="E9" s="209" t="s">
        <v>621</v>
      </c>
    </row>
    <row r="10" spans="2:5" s="422" customFormat="1" ht="60">
      <c r="B10" s="219" t="s">
        <v>1574</v>
      </c>
      <c r="C10" s="454" t="s">
        <v>1725</v>
      </c>
      <c r="D10" s="221" t="s">
        <v>1573</v>
      </c>
      <c r="E10" s="209" t="s">
        <v>1579</v>
      </c>
    </row>
    <row r="11" spans="2:5" s="423" customFormat="1" ht="45">
      <c r="B11" s="219" t="s">
        <v>1575</v>
      </c>
      <c r="C11" s="454" t="s">
        <v>1727</v>
      </c>
      <c r="D11" s="219" t="s">
        <v>1576</v>
      </c>
      <c r="E11" s="209" t="s">
        <v>1580</v>
      </c>
    </row>
    <row r="12" spans="2:5" s="424" customFormat="1" ht="90">
      <c r="B12" s="219" t="s">
        <v>1578</v>
      </c>
      <c r="C12" s="454" t="s">
        <v>1922</v>
      </c>
      <c r="D12" s="219" t="s">
        <v>1577</v>
      </c>
      <c r="E12" s="209" t="s">
        <v>1581</v>
      </c>
    </row>
    <row r="13" spans="2:5">
      <c r="B13" s="208"/>
      <c r="C13" s="212"/>
      <c r="D13" s="213"/>
      <c r="E13" s="214"/>
    </row>
    <row r="14" spans="2:5">
      <c r="B14" s="618" t="s">
        <v>622</v>
      </c>
      <c r="C14" s="619"/>
      <c r="D14" s="619"/>
      <c r="E14" s="620"/>
    </row>
    <row r="15" spans="2:5" s="218" customFormat="1">
      <c r="B15" s="210"/>
      <c r="C15" s="215"/>
      <c r="D15" s="216"/>
      <c r="E15" s="217"/>
    </row>
    <row r="16" spans="2:5" ht="30">
      <c r="B16" s="208" t="s">
        <v>474</v>
      </c>
      <c r="C16" s="454" t="s">
        <v>1739</v>
      </c>
      <c r="D16" s="208" t="s">
        <v>473</v>
      </c>
      <c r="E16" s="209" t="s">
        <v>623</v>
      </c>
    </row>
    <row r="17" spans="2:5" ht="30">
      <c r="B17" s="208" t="s">
        <v>467</v>
      </c>
      <c r="C17" s="454" t="s">
        <v>1744</v>
      </c>
      <c r="D17" s="208" t="s">
        <v>475</v>
      </c>
      <c r="E17" s="209" t="s">
        <v>624</v>
      </c>
    </row>
    <row r="18" spans="2:5" ht="135">
      <c r="B18" s="208" t="s">
        <v>477</v>
      </c>
      <c r="C18" s="454" t="s">
        <v>476</v>
      </c>
      <c r="D18" s="219" t="s">
        <v>625</v>
      </c>
      <c r="E18" s="209" t="s">
        <v>626</v>
      </c>
    </row>
    <row r="19" spans="2:5" ht="38.25">
      <c r="B19" s="208" t="s">
        <v>479</v>
      </c>
      <c r="C19" s="454" t="s">
        <v>1771</v>
      </c>
      <c r="D19" s="220" t="s">
        <v>478</v>
      </c>
      <c r="E19" s="211" t="s">
        <v>627</v>
      </c>
    </row>
    <row r="20" spans="2:5" ht="38.25">
      <c r="B20" s="208" t="s">
        <v>481</v>
      </c>
      <c r="C20" s="454" t="s">
        <v>1770</v>
      </c>
      <c r="D20" s="219" t="s">
        <v>480</v>
      </c>
      <c r="E20" s="211" t="s">
        <v>628</v>
      </c>
    </row>
    <row r="21" spans="2:5" ht="89.25">
      <c r="B21" s="208" t="s">
        <v>483</v>
      </c>
      <c r="C21" s="454" t="s">
        <v>1825</v>
      </c>
      <c r="D21" s="208" t="s">
        <v>482</v>
      </c>
      <c r="E21" s="211" t="s">
        <v>629</v>
      </c>
    </row>
    <row r="22" spans="2:5" ht="135">
      <c r="B22" s="208" t="s">
        <v>486</v>
      </c>
      <c r="C22" s="454" t="s">
        <v>484</v>
      </c>
      <c r="D22" s="221" t="s">
        <v>485</v>
      </c>
      <c r="E22" s="209" t="s">
        <v>626</v>
      </c>
    </row>
    <row r="23" spans="2:5" ht="120">
      <c r="B23" s="208" t="s">
        <v>489</v>
      </c>
      <c r="C23" s="454" t="s">
        <v>630</v>
      </c>
      <c r="D23" s="208" t="s">
        <v>487</v>
      </c>
      <c r="E23" s="209" t="s">
        <v>631</v>
      </c>
    </row>
    <row r="24" spans="2:5" ht="30">
      <c r="B24" s="208" t="s">
        <v>490</v>
      </c>
      <c r="C24" s="454" t="s">
        <v>1899</v>
      </c>
      <c r="D24" s="222" t="s">
        <v>488</v>
      </c>
      <c r="E24" s="209" t="s">
        <v>632</v>
      </c>
    </row>
    <row r="25" spans="2:5" ht="135">
      <c r="B25" s="208" t="s">
        <v>492</v>
      </c>
      <c r="C25" s="454" t="s">
        <v>491</v>
      </c>
      <c r="D25" s="223" t="s">
        <v>633</v>
      </c>
      <c r="E25" s="209" t="s">
        <v>626</v>
      </c>
    </row>
    <row r="26" spans="2:5" ht="135">
      <c r="B26" s="208" t="s">
        <v>495</v>
      </c>
      <c r="C26" s="454" t="s">
        <v>493</v>
      </c>
      <c r="D26" s="221" t="s">
        <v>494</v>
      </c>
      <c r="E26" s="209" t="s">
        <v>634</v>
      </c>
    </row>
    <row r="27" spans="2:5" ht="45">
      <c r="B27" s="208" t="s">
        <v>497</v>
      </c>
      <c r="C27" s="454" t="s">
        <v>1920</v>
      </c>
      <c r="D27" s="208" t="s">
        <v>496</v>
      </c>
      <c r="E27" s="209" t="s">
        <v>635</v>
      </c>
    </row>
    <row r="28" spans="2:5">
      <c r="B28" s="208"/>
      <c r="C28" s="208"/>
      <c r="D28" s="208"/>
      <c r="E28" s="211"/>
    </row>
    <row r="29" spans="2:5">
      <c r="B29" s="618" t="s">
        <v>636</v>
      </c>
      <c r="C29" s="619"/>
      <c r="D29" s="619"/>
      <c r="E29" s="620"/>
    </row>
    <row r="30" spans="2:5">
      <c r="B30" s="208"/>
      <c r="C30" s="224"/>
      <c r="D30" s="208"/>
      <c r="E30" s="209"/>
    </row>
    <row r="31" spans="2:5" ht="75">
      <c r="B31" s="208" t="s">
        <v>499</v>
      </c>
      <c r="C31" s="209" t="s">
        <v>498</v>
      </c>
      <c r="D31" s="208" t="s">
        <v>219</v>
      </c>
      <c r="E31" s="209" t="s">
        <v>637</v>
      </c>
    </row>
    <row r="32" spans="2:5">
      <c r="B32" s="208" t="s">
        <v>500</v>
      </c>
      <c r="C32" s="209" t="s">
        <v>638</v>
      </c>
      <c r="D32" s="208" t="s">
        <v>219</v>
      </c>
      <c r="E32" s="209" t="s">
        <v>639</v>
      </c>
    </row>
  </sheetData>
  <mergeCells count="3">
    <mergeCell ref="B6:E6"/>
    <mergeCell ref="B14:E14"/>
    <mergeCell ref="B29:E29"/>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sheetPr>
    <tabColor rgb="FFFF0000"/>
  </sheetPr>
  <dimension ref="B2:L299"/>
  <sheetViews>
    <sheetView workbookViewId="0">
      <selection activeCell="B6" sqref="B6"/>
    </sheetView>
  </sheetViews>
  <sheetFormatPr baseColWidth="10" defaultRowHeight="15"/>
  <cols>
    <col min="1" max="1" width="6.5703125" customWidth="1"/>
    <col min="2" max="2" width="29.85546875" style="55" customWidth="1"/>
    <col min="3" max="3" width="16.7109375" style="55" customWidth="1"/>
    <col min="4" max="4" width="15.42578125" style="50" customWidth="1"/>
    <col min="5" max="5" width="12.28515625" style="50" customWidth="1"/>
    <col min="6" max="6" width="14.42578125" style="50" customWidth="1"/>
  </cols>
  <sheetData>
    <row r="2" spans="2:6">
      <c r="B2" s="58" t="s">
        <v>461</v>
      </c>
      <c r="C2" s="58"/>
    </row>
    <row r="3" spans="2:6">
      <c r="B3" s="54"/>
      <c r="C3" s="54"/>
    </row>
    <row r="4" spans="2:6">
      <c r="B4" s="54" t="s">
        <v>465</v>
      </c>
      <c r="C4" s="54"/>
    </row>
    <row r="5" spans="2:6">
      <c r="B5" s="54"/>
      <c r="C5" s="54"/>
    </row>
    <row r="6" spans="2:6">
      <c r="B6" s="54" t="s">
        <v>1502</v>
      </c>
      <c r="C6" s="54"/>
    </row>
    <row r="7" spans="2:6">
      <c r="B7" s="54" t="s">
        <v>464</v>
      </c>
      <c r="C7" s="54"/>
    </row>
    <row r="8" spans="2:6">
      <c r="B8" s="54" t="s">
        <v>1503</v>
      </c>
      <c r="C8" s="54"/>
    </row>
    <row r="9" spans="2:6">
      <c r="B9" s="54"/>
      <c r="C9" s="54"/>
    </row>
    <row r="10" spans="2:6">
      <c r="B10" s="54" t="s">
        <v>466</v>
      </c>
      <c r="C10" s="54"/>
    </row>
    <row r="11" spans="2:6">
      <c r="B11" s="54" t="s">
        <v>1541</v>
      </c>
      <c r="C11" s="54"/>
    </row>
    <row r="13" spans="2:6" ht="56.25" customHeight="1">
      <c r="B13" s="76" t="s">
        <v>1618</v>
      </c>
      <c r="C13" s="76" t="s">
        <v>1628</v>
      </c>
      <c r="D13" s="77" t="s">
        <v>47</v>
      </c>
      <c r="E13" s="78" t="s">
        <v>459</v>
      </c>
      <c r="F13" s="76" t="s">
        <v>460</v>
      </c>
    </row>
    <row r="14" spans="2:6" ht="30">
      <c r="B14" s="539" t="s">
        <v>1743</v>
      </c>
      <c r="C14" s="508" t="s">
        <v>1942</v>
      </c>
      <c r="D14" s="508" t="s">
        <v>147</v>
      </c>
      <c r="E14" s="389">
        <v>191</v>
      </c>
      <c r="F14" s="52" t="s">
        <v>37</v>
      </c>
    </row>
    <row r="15" spans="2:6" ht="60">
      <c r="B15" s="508" t="s">
        <v>1841</v>
      </c>
      <c r="C15" s="508" t="s">
        <v>1840</v>
      </c>
      <c r="D15" s="394" t="s">
        <v>401</v>
      </c>
      <c r="E15" s="389">
        <v>135</v>
      </c>
      <c r="F15" s="52" t="s">
        <v>1540</v>
      </c>
    </row>
    <row r="16" spans="2:6" ht="30">
      <c r="B16" s="508" t="s">
        <v>1849</v>
      </c>
      <c r="C16" s="508" t="s">
        <v>1852</v>
      </c>
      <c r="D16" s="508" t="s">
        <v>183</v>
      </c>
      <c r="E16" s="389">
        <v>194</v>
      </c>
      <c r="F16" s="509" t="s">
        <v>177</v>
      </c>
    </row>
    <row r="17" spans="2:6" ht="30">
      <c r="B17" s="508" t="s">
        <v>219</v>
      </c>
      <c r="C17" s="508" t="s">
        <v>1661</v>
      </c>
      <c r="D17" s="394" t="s">
        <v>366</v>
      </c>
      <c r="E17" s="389">
        <v>86</v>
      </c>
      <c r="F17" s="52" t="s">
        <v>1540</v>
      </c>
    </row>
    <row r="18" spans="2:6" ht="30">
      <c r="B18" s="508" t="s">
        <v>219</v>
      </c>
      <c r="C18" s="508" t="s">
        <v>1673</v>
      </c>
      <c r="D18" s="394" t="s">
        <v>367</v>
      </c>
      <c r="E18" s="390">
        <v>87</v>
      </c>
      <c r="F18" s="508" t="s">
        <v>1540</v>
      </c>
    </row>
    <row r="19" spans="2:6" s="426" customFormat="1">
      <c r="B19" s="508" t="s">
        <v>219</v>
      </c>
      <c r="C19" s="508" t="s">
        <v>359</v>
      </c>
      <c r="D19" s="394" t="s">
        <v>358</v>
      </c>
      <c r="E19" s="389" t="s">
        <v>352</v>
      </c>
      <c r="F19" s="508" t="s">
        <v>1540</v>
      </c>
    </row>
    <row r="20" spans="2:6">
      <c r="B20" s="508" t="s">
        <v>219</v>
      </c>
      <c r="C20" s="508" t="s">
        <v>1738</v>
      </c>
      <c r="D20" s="508" t="s">
        <v>219</v>
      </c>
      <c r="E20" s="425" t="s">
        <v>500</v>
      </c>
      <c r="F20" s="51" t="s">
        <v>1540</v>
      </c>
    </row>
    <row r="21" spans="2:6">
      <c r="B21" s="508" t="s">
        <v>219</v>
      </c>
      <c r="C21" s="508" t="s">
        <v>1752</v>
      </c>
      <c r="D21" s="394" t="s">
        <v>396</v>
      </c>
      <c r="E21" s="390">
        <v>127</v>
      </c>
      <c r="F21" s="52" t="s">
        <v>1540</v>
      </c>
    </row>
    <row r="22" spans="2:6" s="426" customFormat="1">
      <c r="B22" s="508" t="s">
        <v>219</v>
      </c>
      <c r="C22" s="508" t="s">
        <v>1772</v>
      </c>
      <c r="D22" s="394" t="s">
        <v>361</v>
      </c>
      <c r="E22" s="389" t="s">
        <v>354</v>
      </c>
      <c r="F22" s="52" t="s">
        <v>1540</v>
      </c>
    </row>
    <row r="23" spans="2:6">
      <c r="B23" s="508" t="s">
        <v>219</v>
      </c>
      <c r="C23" s="508" t="s">
        <v>1828</v>
      </c>
      <c r="D23" s="390" t="s">
        <v>360</v>
      </c>
      <c r="E23" s="390" t="s">
        <v>353</v>
      </c>
      <c r="F23" s="52" t="s">
        <v>1540</v>
      </c>
    </row>
    <row r="24" spans="2:6" s="426" customFormat="1">
      <c r="B24" s="508" t="s">
        <v>219</v>
      </c>
      <c r="C24" s="508" t="s">
        <v>1871</v>
      </c>
      <c r="D24" s="394" t="s">
        <v>363</v>
      </c>
      <c r="E24" s="389">
        <v>74</v>
      </c>
      <c r="F24" s="52" t="s">
        <v>1540</v>
      </c>
    </row>
    <row r="25" spans="2:6" ht="19.5" customHeight="1">
      <c r="B25" s="508" t="s">
        <v>219</v>
      </c>
      <c r="C25" s="508" t="s">
        <v>1872</v>
      </c>
      <c r="D25" s="394" t="s">
        <v>364</v>
      </c>
      <c r="E25" s="389">
        <v>75</v>
      </c>
      <c r="F25" s="52" t="s">
        <v>1540</v>
      </c>
    </row>
    <row r="26" spans="2:6" ht="21.75" customHeight="1">
      <c r="B26" s="508" t="s">
        <v>219</v>
      </c>
      <c r="C26" s="508" t="s">
        <v>127</v>
      </c>
      <c r="D26" s="51" t="s">
        <v>128</v>
      </c>
      <c r="E26" s="389" t="s">
        <v>340</v>
      </c>
      <c r="F26" s="52" t="s">
        <v>35</v>
      </c>
    </row>
    <row r="27" spans="2:6">
      <c r="B27" s="508" t="s">
        <v>219</v>
      </c>
      <c r="C27" s="508" t="s">
        <v>408</v>
      </c>
      <c r="D27" s="48" t="s">
        <v>397</v>
      </c>
      <c r="E27" s="390">
        <v>144</v>
      </c>
      <c r="F27" s="508" t="s">
        <v>1540</v>
      </c>
    </row>
    <row r="28" spans="2:6" ht="30">
      <c r="B28" s="508" t="s">
        <v>219</v>
      </c>
      <c r="C28" s="508" t="s">
        <v>498</v>
      </c>
      <c r="D28" s="508" t="s">
        <v>219</v>
      </c>
      <c r="E28" s="425" t="s">
        <v>499</v>
      </c>
      <c r="F28" s="52" t="s">
        <v>1540</v>
      </c>
    </row>
    <row r="29" spans="2:6" ht="45">
      <c r="B29" s="508" t="s">
        <v>219</v>
      </c>
      <c r="C29" s="508" t="s">
        <v>398</v>
      </c>
      <c r="D29" s="48" t="s">
        <v>397</v>
      </c>
      <c r="E29" s="389">
        <v>129</v>
      </c>
      <c r="F29" s="52" t="s">
        <v>1540</v>
      </c>
    </row>
    <row r="30" spans="2:6" ht="45">
      <c r="B30" s="508" t="s">
        <v>219</v>
      </c>
      <c r="C30" s="508" t="s">
        <v>472</v>
      </c>
      <c r="D30" s="394" t="s">
        <v>219</v>
      </c>
      <c r="E30" s="425" t="s">
        <v>471</v>
      </c>
      <c r="F30" s="52" t="s">
        <v>219</v>
      </c>
    </row>
    <row r="31" spans="2:6" s="426" customFormat="1">
      <c r="B31" s="508" t="s">
        <v>1619</v>
      </c>
      <c r="C31" s="508"/>
      <c r="D31" s="51" t="s">
        <v>48</v>
      </c>
      <c r="E31" s="390">
        <v>90</v>
      </c>
      <c r="F31" s="508" t="s">
        <v>29</v>
      </c>
    </row>
    <row r="32" spans="2:6">
      <c r="B32" s="508" t="s">
        <v>1620</v>
      </c>
      <c r="C32" s="508"/>
      <c r="D32" s="508" t="s">
        <v>346</v>
      </c>
      <c r="E32" s="390">
        <v>12</v>
      </c>
      <c r="F32" s="52" t="s">
        <v>1540</v>
      </c>
    </row>
    <row r="33" spans="2:6">
      <c r="B33" s="508" t="s">
        <v>1621</v>
      </c>
      <c r="C33" s="508"/>
      <c r="D33" s="51" t="s">
        <v>75</v>
      </c>
      <c r="E33" s="390">
        <v>52</v>
      </c>
      <c r="F33" s="52" t="s">
        <v>29</v>
      </c>
    </row>
    <row r="34" spans="2:6" ht="30">
      <c r="B34" s="508" t="s">
        <v>1886</v>
      </c>
      <c r="C34" s="508" t="s">
        <v>1885</v>
      </c>
      <c r="D34" s="394" t="s">
        <v>439</v>
      </c>
      <c r="E34" s="390">
        <v>219</v>
      </c>
      <c r="F34" s="53" t="s">
        <v>1540</v>
      </c>
    </row>
    <row r="35" spans="2:6">
      <c r="B35" s="508" t="s">
        <v>1622</v>
      </c>
      <c r="C35" s="508"/>
      <c r="D35" s="51" t="s">
        <v>116</v>
      </c>
      <c r="E35" s="390">
        <v>21</v>
      </c>
      <c r="F35" s="508" t="s">
        <v>37</v>
      </c>
    </row>
    <row r="36" spans="2:6">
      <c r="B36" s="167" t="s">
        <v>1626</v>
      </c>
      <c r="C36" s="167"/>
      <c r="D36" s="394" t="s">
        <v>1586</v>
      </c>
      <c r="E36" s="394">
        <v>247</v>
      </c>
      <c r="F36" s="52" t="s">
        <v>1540</v>
      </c>
    </row>
    <row r="37" spans="2:6" s="426" customFormat="1">
      <c r="B37" s="553" t="s">
        <v>1623</v>
      </c>
      <c r="C37" s="553"/>
      <c r="D37" s="390" t="s">
        <v>427</v>
      </c>
      <c r="E37" s="390">
        <v>207</v>
      </c>
      <c r="F37" s="53" t="s">
        <v>1540</v>
      </c>
    </row>
    <row r="38" spans="2:6">
      <c r="B38" s="167" t="s">
        <v>1594</v>
      </c>
      <c r="C38" s="167"/>
      <c r="D38" s="394" t="s">
        <v>1587</v>
      </c>
      <c r="E38" s="394">
        <v>248</v>
      </c>
      <c r="F38" s="53" t="s">
        <v>1540</v>
      </c>
    </row>
    <row r="39" spans="2:6" s="426" customFormat="1">
      <c r="B39" s="508" t="s">
        <v>1624</v>
      </c>
      <c r="C39" s="508"/>
      <c r="D39" s="51" t="s">
        <v>86</v>
      </c>
      <c r="E39" s="390">
        <v>18</v>
      </c>
      <c r="F39" s="52" t="s">
        <v>29</v>
      </c>
    </row>
    <row r="40" spans="2:6">
      <c r="B40" s="508" t="s">
        <v>50</v>
      </c>
      <c r="C40" s="508"/>
      <c r="D40" s="508" t="s">
        <v>51</v>
      </c>
      <c r="E40" s="390">
        <v>108</v>
      </c>
      <c r="F40" s="52" t="s">
        <v>29</v>
      </c>
    </row>
    <row r="41" spans="2:6" s="426" customFormat="1">
      <c r="B41" s="554" t="s">
        <v>1955</v>
      </c>
      <c r="C41" s="555"/>
      <c r="D41" s="385" t="s">
        <v>1951</v>
      </c>
      <c r="E41" s="390">
        <v>254</v>
      </c>
      <c r="F41" s="425" t="s">
        <v>1540</v>
      </c>
    </row>
    <row r="42" spans="2:6">
      <c r="B42" s="508" t="s">
        <v>1627</v>
      </c>
      <c r="C42" s="508"/>
      <c r="D42" s="51" t="s">
        <v>117</v>
      </c>
      <c r="E42" s="390">
        <v>22</v>
      </c>
      <c r="F42" s="52" t="s">
        <v>37</v>
      </c>
    </row>
    <row r="43" spans="2:6">
      <c r="B43" s="167" t="s">
        <v>1596</v>
      </c>
      <c r="C43" s="167"/>
      <c r="D43" s="394" t="s">
        <v>1588</v>
      </c>
      <c r="E43" s="394">
        <v>249</v>
      </c>
      <c r="F43" s="508" t="s">
        <v>1540</v>
      </c>
    </row>
    <row r="44" spans="2:6">
      <c r="B44" s="508" t="s">
        <v>1625</v>
      </c>
      <c r="C44" s="508"/>
      <c r="D44" s="51" t="s">
        <v>87</v>
      </c>
      <c r="E44" s="390">
        <v>19</v>
      </c>
      <c r="F44" s="52" t="s">
        <v>29</v>
      </c>
    </row>
    <row r="45" spans="2:6">
      <c r="B45" s="508" t="s">
        <v>1630</v>
      </c>
      <c r="C45" s="508" t="s">
        <v>1629</v>
      </c>
      <c r="D45" s="394" t="s">
        <v>370</v>
      </c>
      <c r="E45" s="390">
        <v>92</v>
      </c>
      <c r="F45" s="52" t="s">
        <v>1540</v>
      </c>
    </row>
    <row r="46" spans="2:6" ht="30">
      <c r="B46" s="509" t="s">
        <v>1631</v>
      </c>
      <c r="C46" s="509"/>
      <c r="D46" s="394" t="s">
        <v>431</v>
      </c>
      <c r="E46" s="390">
        <v>211</v>
      </c>
      <c r="F46" s="53" t="s">
        <v>1540</v>
      </c>
    </row>
    <row r="47" spans="2:6">
      <c r="B47" s="52" t="s">
        <v>52</v>
      </c>
      <c r="C47" s="52"/>
      <c r="D47" s="508" t="s">
        <v>53</v>
      </c>
      <c r="E47" s="390">
        <v>110</v>
      </c>
      <c r="F47" s="508" t="s">
        <v>29</v>
      </c>
    </row>
    <row r="48" spans="2:6">
      <c r="B48" s="52" t="s">
        <v>1632</v>
      </c>
      <c r="C48" s="52"/>
      <c r="D48" s="51" t="s">
        <v>72</v>
      </c>
      <c r="E48" s="390">
        <v>15</v>
      </c>
      <c r="F48" s="52" t="s">
        <v>29</v>
      </c>
    </row>
    <row r="49" spans="2:6">
      <c r="B49" s="52" t="s">
        <v>54</v>
      </c>
      <c r="C49" s="52"/>
      <c r="D49" s="508" t="s">
        <v>55</v>
      </c>
      <c r="E49" s="390">
        <v>130</v>
      </c>
      <c r="F49" s="508" t="s">
        <v>29</v>
      </c>
    </row>
    <row r="50" spans="2:6" ht="30">
      <c r="B50" s="52" t="s">
        <v>1782</v>
      </c>
      <c r="C50" s="52" t="s">
        <v>1781</v>
      </c>
      <c r="D50" s="394" t="s">
        <v>419</v>
      </c>
      <c r="E50" s="389">
        <v>163</v>
      </c>
      <c r="F50" s="51" t="s">
        <v>1540</v>
      </c>
    </row>
    <row r="51" spans="2:6">
      <c r="B51" s="52" t="s">
        <v>1633</v>
      </c>
      <c r="C51" s="52"/>
      <c r="D51" s="51" t="s">
        <v>88</v>
      </c>
      <c r="E51" s="390">
        <v>20</v>
      </c>
      <c r="F51" s="52" t="s">
        <v>29</v>
      </c>
    </row>
    <row r="52" spans="2:6">
      <c r="B52" s="508" t="s">
        <v>1635</v>
      </c>
      <c r="C52" s="508"/>
      <c r="D52" s="51" t="s">
        <v>193</v>
      </c>
      <c r="E52" s="390">
        <v>84</v>
      </c>
      <c r="F52" s="52" t="s">
        <v>190</v>
      </c>
    </row>
    <row r="53" spans="2:6">
      <c r="B53" s="52" t="s">
        <v>1636</v>
      </c>
      <c r="C53" s="52"/>
      <c r="D53" s="51" t="s">
        <v>73</v>
      </c>
      <c r="E53" s="390">
        <v>16</v>
      </c>
      <c r="F53" s="508" t="s">
        <v>29</v>
      </c>
    </row>
    <row r="54" spans="2:6">
      <c r="B54" s="508" t="s">
        <v>1637</v>
      </c>
      <c r="C54" s="508"/>
      <c r="D54" s="51" t="s">
        <v>74</v>
      </c>
      <c r="E54" s="390">
        <v>17</v>
      </c>
      <c r="F54" s="52" t="s">
        <v>29</v>
      </c>
    </row>
    <row r="55" spans="2:6">
      <c r="B55" s="167" t="s">
        <v>1638</v>
      </c>
      <c r="C55" s="167"/>
      <c r="D55" s="394" t="s">
        <v>1584</v>
      </c>
      <c r="E55" s="394">
        <v>245</v>
      </c>
      <c r="F55" s="52" t="s">
        <v>1540</v>
      </c>
    </row>
    <row r="56" spans="2:6">
      <c r="B56" s="508" t="s">
        <v>1816</v>
      </c>
      <c r="C56" s="510" t="s">
        <v>1815</v>
      </c>
      <c r="D56" s="53" t="s">
        <v>345</v>
      </c>
      <c r="E56" s="389">
        <v>205</v>
      </c>
      <c r="F56" s="53" t="s">
        <v>29</v>
      </c>
    </row>
    <row r="57" spans="2:6">
      <c r="B57" s="167" t="s">
        <v>1592</v>
      </c>
      <c r="C57" s="167"/>
      <c r="D57" s="394" t="s">
        <v>1583</v>
      </c>
      <c r="E57" s="394">
        <v>244</v>
      </c>
      <c r="F57" s="508" t="s">
        <v>1540</v>
      </c>
    </row>
    <row r="58" spans="2:6">
      <c r="B58" s="508" t="s">
        <v>1686</v>
      </c>
      <c r="C58" s="510"/>
      <c r="D58" s="51" t="s">
        <v>186</v>
      </c>
      <c r="E58" s="390">
        <v>50</v>
      </c>
      <c r="F58" s="508" t="s">
        <v>41</v>
      </c>
    </row>
    <row r="59" spans="2:6">
      <c r="B59" s="167" t="s">
        <v>1687</v>
      </c>
      <c r="C59" s="167"/>
      <c r="D59" s="394" t="s">
        <v>1589</v>
      </c>
      <c r="E59" s="394">
        <v>250</v>
      </c>
      <c r="F59" s="508" t="s">
        <v>1540</v>
      </c>
    </row>
    <row r="60" spans="2:6" ht="30">
      <c r="B60" s="508" t="s">
        <v>1851</v>
      </c>
      <c r="C60" s="508" t="s">
        <v>1850</v>
      </c>
      <c r="D60" s="508" t="s">
        <v>184</v>
      </c>
      <c r="E60" s="390">
        <v>195</v>
      </c>
      <c r="F60" s="509" t="s">
        <v>177</v>
      </c>
    </row>
    <row r="61" spans="2:6" s="424" customFormat="1" ht="45">
      <c r="B61" s="508" t="s">
        <v>1876</v>
      </c>
      <c r="C61" s="508" t="s">
        <v>469</v>
      </c>
      <c r="D61" s="394" t="s">
        <v>470</v>
      </c>
      <c r="E61" s="394" t="s">
        <v>468</v>
      </c>
      <c r="F61" s="508" t="s">
        <v>1540</v>
      </c>
    </row>
    <row r="62" spans="2:6" ht="30">
      <c r="B62" s="508" t="s">
        <v>1890</v>
      </c>
      <c r="C62" s="508" t="s">
        <v>135</v>
      </c>
      <c r="D62" s="51" t="s">
        <v>136</v>
      </c>
      <c r="E62" s="389" t="s">
        <v>344</v>
      </c>
      <c r="F62" s="508" t="s">
        <v>35</v>
      </c>
    </row>
    <row r="63" spans="2:6" ht="30">
      <c r="B63" s="508" t="s">
        <v>1888</v>
      </c>
      <c r="C63" s="508" t="s">
        <v>131</v>
      </c>
      <c r="D63" s="51" t="s">
        <v>132</v>
      </c>
      <c r="E63" s="389" t="s">
        <v>342</v>
      </c>
      <c r="F63" s="508" t="s">
        <v>35</v>
      </c>
    </row>
    <row r="64" spans="2:6" ht="30">
      <c r="B64" s="508" t="s">
        <v>1889</v>
      </c>
      <c r="C64" s="508" t="s">
        <v>133</v>
      </c>
      <c r="D64" s="51" t="s">
        <v>134</v>
      </c>
      <c r="E64" s="389" t="s">
        <v>343</v>
      </c>
      <c r="F64" s="508" t="s">
        <v>35</v>
      </c>
    </row>
    <row r="65" spans="2:6">
      <c r="B65" s="508" t="s">
        <v>1892</v>
      </c>
      <c r="C65" s="508" t="s">
        <v>125</v>
      </c>
      <c r="D65" s="51" t="s">
        <v>126</v>
      </c>
      <c r="E65" s="389" t="s">
        <v>339</v>
      </c>
      <c r="F65" s="508" t="s">
        <v>35</v>
      </c>
    </row>
    <row r="66" spans="2:6" ht="30">
      <c r="B66" s="102" t="s">
        <v>1706</v>
      </c>
      <c r="C66" s="508" t="s">
        <v>144</v>
      </c>
      <c r="D66" s="508" t="s">
        <v>145</v>
      </c>
      <c r="E66" s="389">
        <v>189</v>
      </c>
      <c r="F66" s="508" t="s">
        <v>37</v>
      </c>
    </row>
    <row r="67" spans="2:6">
      <c r="B67" s="52" t="s">
        <v>1887</v>
      </c>
      <c r="C67" s="52" t="s">
        <v>129</v>
      </c>
      <c r="D67" s="51" t="s">
        <v>130</v>
      </c>
      <c r="E67" s="389" t="s">
        <v>341</v>
      </c>
      <c r="F67" s="52" t="s">
        <v>35</v>
      </c>
    </row>
    <row r="68" spans="2:6">
      <c r="B68" s="52" t="s">
        <v>1640</v>
      </c>
      <c r="C68" s="52"/>
      <c r="D68" s="51" t="s">
        <v>108</v>
      </c>
      <c r="E68" s="390">
        <v>45</v>
      </c>
      <c r="F68" s="52" t="s">
        <v>33</v>
      </c>
    </row>
    <row r="69" spans="2:6">
      <c r="B69" s="52" t="s">
        <v>1641</v>
      </c>
      <c r="C69" s="52"/>
      <c r="D69" s="51" t="s">
        <v>109</v>
      </c>
      <c r="E69" s="390">
        <v>46</v>
      </c>
      <c r="F69" s="52" t="s">
        <v>33</v>
      </c>
    </row>
    <row r="70" spans="2:6">
      <c r="B70" s="52" t="s">
        <v>1642</v>
      </c>
      <c r="C70" s="52"/>
      <c r="D70" s="51" t="s">
        <v>350</v>
      </c>
      <c r="E70" s="390">
        <v>47</v>
      </c>
      <c r="F70" s="52" t="s">
        <v>1540</v>
      </c>
    </row>
    <row r="71" spans="2:6">
      <c r="B71" s="52" t="s">
        <v>1643</v>
      </c>
      <c r="C71" s="52"/>
      <c r="D71" s="51" t="s">
        <v>103</v>
      </c>
      <c r="E71" s="390">
        <v>40</v>
      </c>
      <c r="F71" s="508" t="s">
        <v>33</v>
      </c>
    </row>
    <row r="72" spans="2:6">
      <c r="B72" s="52" t="s">
        <v>1644</v>
      </c>
      <c r="C72" s="52"/>
      <c r="D72" s="51" t="s">
        <v>104</v>
      </c>
      <c r="E72" s="49">
        <v>41</v>
      </c>
      <c r="F72" s="52" t="s">
        <v>33</v>
      </c>
    </row>
    <row r="73" spans="2:6" ht="45">
      <c r="B73" s="52" t="s">
        <v>1689</v>
      </c>
      <c r="C73" s="52" t="s">
        <v>1645</v>
      </c>
      <c r="D73" s="508" t="s">
        <v>137</v>
      </c>
      <c r="E73" s="49">
        <v>122</v>
      </c>
      <c r="F73" s="52" t="s">
        <v>138</v>
      </c>
    </row>
    <row r="74" spans="2:6" ht="30">
      <c r="B74" s="52" t="s">
        <v>1690</v>
      </c>
      <c r="C74" s="52" t="s">
        <v>1646</v>
      </c>
      <c r="D74" s="51" t="s">
        <v>351</v>
      </c>
      <c r="E74" s="49">
        <v>56</v>
      </c>
      <c r="F74" s="509" t="s">
        <v>1540</v>
      </c>
    </row>
    <row r="75" spans="2:6">
      <c r="B75" s="52" t="s">
        <v>1891</v>
      </c>
      <c r="C75" s="52" t="s">
        <v>122</v>
      </c>
      <c r="D75" s="51" t="s">
        <v>123</v>
      </c>
      <c r="E75" s="49" t="s">
        <v>338</v>
      </c>
      <c r="F75" s="52" t="s">
        <v>35</v>
      </c>
    </row>
    <row r="76" spans="2:6">
      <c r="B76" s="52" t="s">
        <v>1691</v>
      </c>
      <c r="C76" s="52"/>
      <c r="D76" s="394" t="s">
        <v>389</v>
      </c>
      <c r="E76" s="49">
        <v>120</v>
      </c>
      <c r="F76" s="52" t="s">
        <v>1540</v>
      </c>
    </row>
    <row r="77" spans="2:6">
      <c r="B77" s="52" t="s">
        <v>1692</v>
      </c>
      <c r="C77" s="52"/>
      <c r="D77" s="394" t="s">
        <v>388</v>
      </c>
      <c r="E77" s="49">
        <v>119</v>
      </c>
      <c r="F77" s="52" t="s">
        <v>1540</v>
      </c>
    </row>
    <row r="78" spans="2:6">
      <c r="B78" s="52" t="s">
        <v>1647</v>
      </c>
      <c r="C78" s="52"/>
      <c r="D78" s="394" t="s">
        <v>385</v>
      </c>
      <c r="E78" s="49">
        <v>115</v>
      </c>
      <c r="F78" s="52" t="s">
        <v>1540</v>
      </c>
    </row>
    <row r="79" spans="2:6">
      <c r="B79" s="52" t="s">
        <v>1648</v>
      </c>
      <c r="C79" s="508"/>
      <c r="D79" s="51" t="s">
        <v>105</v>
      </c>
      <c r="E79" s="49">
        <v>42</v>
      </c>
      <c r="F79" s="508" t="s">
        <v>33</v>
      </c>
    </row>
    <row r="80" spans="2:6">
      <c r="B80" s="52" t="s">
        <v>1649</v>
      </c>
      <c r="C80" s="52"/>
      <c r="D80" s="51" t="s">
        <v>106</v>
      </c>
      <c r="E80" s="389">
        <v>43</v>
      </c>
      <c r="F80" s="52" t="s">
        <v>33</v>
      </c>
    </row>
    <row r="81" spans="2:6">
      <c r="B81" s="52" t="s">
        <v>1651</v>
      </c>
      <c r="C81" s="52" t="s">
        <v>1650</v>
      </c>
      <c r="D81" s="51" t="s">
        <v>191</v>
      </c>
      <c r="E81" s="389">
        <v>81</v>
      </c>
      <c r="F81" s="52" t="s">
        <v>190</v>
      </c>
    </row>
    <row r="82" spans="2:6" ht="45">
      <c r="B82" s="508" t="s">
        <v>181</v>
      </c>
      <c r="C82" s="539" t="s">
        <v>1693</v>
      </c>
      <c r="D82" s="508" t="s">
        <v>182</v>
      </c>
      <c r="E82" s="389">
        <v>192</v>
      </c>
      <c r="F82" s="509" t="s">
        <v>177</v>
      </c>
    </row>
    <row r="83" spans="2:6">
      <c r="B83" s="52" t="s">
        <v>1652</v>
      </c>
      <c r="C83" s="52"/>
      <c r="D83" s="51" t="s">
        <v>99</v>
      </c>
      <c r="E83" s="390">
        <v>36</v>
      </c>
      <c r="F83" s="52" t="s">
        <v>33</v>
      </c>
    </row>
    <row r="84" spans="2:6">
      <c r="B84" s="508" t="s">
        <v>1654</v>
      </c>
      <c r="C84" s="52"/>
      <c r="D84" s="508" t="s">
        <v>194</v>
      </c>
      <c r="E84" s="390">
        <v>198</v>
      </c>
      <c r="F84" s="52" t="s">
        <v>190</v>
      </c>
    </row>
    <row r="85" spans="2:6">
      <c r="B85" s="110" t="s">
        <v>1655</v>
      </c>
      <c r="C85" s="110"/>
      <c r="D85" s="384" t="s">
        <v>1572</v>
      </c>
      <c r="E85" s="384">
        <v>243</v>
      </c>
      <c r="F85" s="52" t="s">
        <v>1540</v>
      </c>
    </row>
    <row r="86" spans="2:6" ht="30">
      <c r="B86" s="508" t="s">
        <v>1696</v>
      </c>
      <c r="C86" s="510" t="s">
        <v>1653</v>
      </c>
      <c r="D86" s="51" t="s">
        <v>92</v>
      </c>
      <c r="E86" s="390">
        <v>29</v>
      </c>
      <c r="F86" s="52" t="s">
        <v>32</v>
      </c>
    </row>
    <row r="87" spans="2:6">
      <c r="B87" s="508" t="s">
        <v>1656</v>
      </c>
      <c r="C87" s="508"/>
      <c r="D87" s="394" t="s">
        <v>394</v>
      </c>
      <c r="E87" s="390">
        <v>125</v>
      </c>
      <c r="F87" s="508" t="s">
        <v>1540</v>
      </c>
    </row>
    <row r="88" spans="2:6" ht="30">
      <c r="B88" s="508" t="s">
        <v>1697</v>
      </c>
      <c r="C88" s="508" t="s">
        <v>1657</v>
      </c>
      <c r="D88" s="51" t="s">
        <v>93</v>
      </c>
      <c r="E88" s="390">
        <v>30</v>
      </c>
      <c r="F88" s="52" t="s">
        <v>32</v>
      </c>
    </row>
    <row r="89" spans="2:6" ht="45">
      <c r="B89" s="508" t="s">
        <v>1922</v>
      </c>
      <c r="C89" s="508" t="s">
        <v>1921</v>
      </c>
      <c r="D89" s="51" t="s">
        <v>1577</v>
      </c>
      <c r="E89" s="394" t="s">
        <v>1578</v>
      </c>
      <c r="F89" s="52" t="s">
        <v>1540</v>
      </c>
    </row>
    <row r="90" spans="2:6">
      <c r="B90" s="508" t="s">
        <v>1290</v>
      </c>
      <c r="C90" s="508"/>
      <c r="D90" s="508" t="s">
        <v>155</v>
      </c>
      <c r="E90" s="390">
        <v>165</v>
      </c>
      <c r="F90" s="51" t="s">
        <v>39</v>
      </c>
    </row>
    <row r="91" spans="2:6" s="426" customFormat="1" ht="38.25" customHeight="1">
      <c r="B91" s="508" t="s">
        <v>1658</v>
      </c>
      <c r="C91" s="508"/>
      <c r="D91" s="51" t="s">
        <v>100</v>
      </c>
      <c r="E91" s="390">
        <v>37</v>
      </c>
      <c r="F91" s="508" t="s">
        <v>33</v>
      </c>
    </row>
    <row r="92" spans="2:6">
      <c r="B92" s="508" t="s">
        <v>1660</v>
      </c>
      <c r="C92" s="508"/>
      <c r="D92" s="508" t="s">
        <v>195</v>
      </c>
      <c r="E92" s="389">
        <v>199</v>
      </c>
      <c r="F92" s="508" t="s">
        <v>190</v>
      </c>
    </row>
    <row r="93" spans="2:6" s="426" customFormat="1" ht="30">
      <c r="B93" s="508" t="s">
        <v>1698</v>
      </c>
      <c r="C93" s="508" t="s">
        <v>1659</v>
      </c>
      <c r="D93" s="51" t="s">
        <v>94</v>
      </c>
      <c r="E93" s="390">
        <v>31</v>
      </c>
      <c r="F93" s="508" t="s">
        <v>32</v>
      </c>
    </row>
    <row r="94" spans="2:6" ht="45">
      <c r="B94" s="508" t="s">
        <v>1862</v>
      </c>
      <c r="C94" s="508" t="s">
        <v>1861</v>
      </c>
      <c r="D94" s="508" t="s">
        <v>165</v>
      </c>
      <c r="E94" s="390">
        <v>176</v>
      </c>
      <c r="F94" s="51" t="s">
        <v>39</v>
      </c>
    </row>
    <row r="95" spans="2:6" ht="45">
      <c r="B95" s="508" t="s">
        <v>1856</v>
      </c>
      <c r="C95" s="508" t="s">
        <v>1855</v>
      </c>
      <c r="D95" s="508" t="s">
        <v>162</v>
      </c>
      <c r="E95" s="390">
        <v>173</v>
      </c>
      <c r="F95" s="51" t="s">
        <v>39</v>
      </c>
    </row>
    <row r="96" spans="2:6" ht="45">
      <c r="B96" s="508" t="s">
        <v>1717</v>
      </c>
      <c r="C96" s="508" t="s">
        <v>1714</v>
      </c>
      <c r="D96" s="394" t="s">
        <v>435</v>
      </c>
      <c r="E96" s="390">
        <v>215</v>
      </c>
      <c r="F96" s="53" t="s">
        <v>1540</v>
      </c>
    </row>
    <row r="97" spans="2:6">
      <c r="B97" s="508" t="s">
        <v>1663</v>
      </c>
      <c r="C97" s="508"/>
      <c r="D97" s="51" t="s">
        <v>96</v>
      </c>
      <c r="E97" s="389">
        <v>33</v>
      </c>
      <c r="F97" s="52" t="s">
        <v>33</v>
      </c>
    </row>
    <row r="98" spans="2:6">
      <c r="B98" s="508" t="s">
        <v>1664</v>
      </c>
      <c r="C98" s="508"/>
      <c r="D98" s="51" t="s">
        <v>59</v>
      </c>
      <c r="E98" s="389">
        <v>63</v>
      </c>
      <c r="F98" s="52" t="s">
        <v>29</v>
      </c>
    </row>
    <row r="99" spans="2:6">
      <c r="B99" s="508" t="s">
        <v>1665</v>
      </c>
      <c r="C99" s="508"/>
      <c r="D99" s="394" t="s">
        <v>404</v>
      </c>
      <c r="E99" s="389">
        <v>139</v>
      </c>
      <c r="F99" s="508" t="s">
        <v>1540</v>
      </c>
    </row>
    <row r="100" spans="2:6">
      <c r="B100" s="508" t="s">
        <v>1700</v>
      </c>
      <c r="C100" s="508"/>
      <c r="D100" s="51" t="s">
        <v>188</v>
      </c>
      <c r="E100" s="389">
        <v>51</v>
      </c>
      <c r="F100" s="52" t="s">
        <v>41</v>
      </c>
    </row>
    <row r="101" spans="2:6">
      <c r="B101" s="508" t="s">
        <v>1929</v>
      </c>
      <c r="C101" s="508" t="s">
        <v>1928</v>
      </c>
      <c r="D101" s="508" t="s">
        <v>85</v>
      </c>
      <c r="E101" s="390">
        <v>116</v>
      </c>
      <c r="F101" s="508" t="s">
        <v>30</v>
      </c>
    </row>
    <row r="102" spans="2:6">
      <c r="B102" s="508" t="s">
        <v>1878</v>
      </c>
      <c r="C102" s="508" t="s">
        <v>1877</v>
      </c>
      <c r="D102" s="394" t="s">
        <v>405</v>
      </c>
      <c r="E102" s="390">
        <v>140</v>
      </c>
      <c r="F102" s="52" t="s">
        <v>1540</v>
      </c>
    </row>
    <row r="103" spans="2:6" ht="30">
      <c r="B103" s="508" t="s">
        <v>1731</v>
      </c>
      <c r="C103" s="508" t="s">
        <v>1730</v>
      </c>
      <c r="D103" s="394" t="s">
        <v>387</v>
      </c>
      <c r="E103" s="390">
        <v>118</v>
      </c>
      <c r="F103" s="52" t="s">
        <v>1540</v>
      </c>
    </row>
    <row r="104" spans="2:6" ht="30">
      <c r="B104" s="508" t="s">
        <v>1843</v>
      </c>
      <c r="C104" s="508" t="s">
        <v>1842</v>
      </c>
      <c r="D104" s="508" t="s">
        <v>159</v>
      </c>
      <c r="E104" s="389">
        <v>170</v>
      </c>
      <c r="F104" s="51" t="s">
        <v>39</v>
      </c>
    </row>
    <row r="105" spans="2:6" s="381" customFormat="1" ht="30">
      <c r="B105" s="508" t="s">
        <v>1703</v>
      </c>
      <c r="C105" s="508"/>
      <c r="D105" s="394" t="s">
        <v>386</v>
      </c>
      <c r="E105" s="389">
        <v>117</v>
      </c>
      <c r="F105" s="52" t="s">
        <v>1540</v>
      </c>
    </row>
    <row r="106" spans="2:6">
      <c r="B106" s="508" t="s">
        <v>1704</v>
      </c>
      <c r="C106" s="508"/>
      <c r="D106" s="394" t="s">
        <v>390</v>
      </c>
      <c r="E106" s="389">
        <v>121</v>
      </c>
      <c r="F106" s="508" t="s">
        <v>1540</v>
      </c>
    </row>
    <row r="107" spans="2:6" s="424" customFormat="1">
      <c r="B107" s="508" t="s">
        <v>1666</v>
      </c>
      <c r="C107" s="508"/>
      <c r="D107" s="51" t="s">
        <v>107</v>
      </c>
      <c r="E107" s="389">
        <v>44</v>
      </c>
      <c r="F107" s="508" t="s">
        <v>33</v>
      </c>
    </row>
    <row r="108" spans="2:6">
      <c r="B108" s="508" t="s">
        <v>1667</v>
      </c>
      <c r="C108" s="508"/>
      <c r="D108" s="51" t="s">
        <v>101</v>
      </c>
      <c r="E108" s="389">
        <v>38</v>
      </c>
      <c r="F108" s="52" t="s">
        <v>33</v>
      </c>
    </row>
    <row r="109" spans="2:6">
      <c r="B109" s="508" t="s">
        <v>1668</v>
      </c>
      <c r="C109" s="508"/>
      <c r="D109" s="51" t="s">
        <v>95</v>
      </c>
      <c r="E109" s="389">
        <v>32</v>
      </c>
      <c r="F109" s="508" t="s">
        <v>32</v>
      </c>
    </row>
    <row r="110" spans="2:6">
      <c r="B110" s="508" t="s">
        <v>1669</v>
      </c>
      <c r="C110" s="508"/>
      <c r="D110" s="51" t="s">
        <v>102</v>
      </c>
      <c r="E110" s="389">
        <v>39</v>
      </c>
      <c r="F110" s="508" t="s">
        <v>33</v>
      </c>
    </row>
    <row r="111" spans="2:6" ht="30">
      <c r="B111" s="508" t="s">
        <v>1705</v>
      </c>
      <c r="C111" s="508" t="s">
        <v>1670</v>
      </c>
      <c r="D111" s="394" t="s">
        <v>399</v>
      </c>
      <c r="E111" s="389">
        <v>132</v>
      </c>
      <c r="F111" s="52" t="s">
        <v>1540</v>
      </c>
    </row>
    <row r="112" spans="2:6">
      <c r="B112" s="52" t="s">
        <v>1671</v>
      </c>
      <c r="C112" s="52"/>
      <c r="D112" s="51" t="s">
        <v>97</v>
      </c>
      <c r="E112" s="389">
        <v>34</v>
      </c>
      <c r="F112" s="52" t="s">
        <v>33</v>
      </c>
    </row>
    <row r="113" spans="2:6" ht="45">
      <c r="B113" s="52" t="s">
        <v>1837</v>
      </c>
      <c r="C113" s="52" t="s">
        <v>1836</v>
      </c>
      <c r="D113" s="508" t="s">
        <v>158</v>
      </c>
      <c r="E113" s="390">
        <v>169</v>
      </c>
      <c r="F113" s="51" t="s">
        <v>39</v>
      </c>
    </row>
    <row r="114" spans="2:6">
      <c r="B114" s="52" t="s">
        <v>1672</v>
      </c>
      <c r="C114" s="52"/>
      <c r="D114" s="394" t="s">
        <v>402</v>
      </c>
      <c r="E114" s="389">
        <v>137</v>
      </c>
      <c r="F114" s="508" t="s">
        <v>1540</v>
      </c>
    </row>
    <row r="115" spans="2:6">
      <c r="B115" s="52" t="s">
        <v>1868</v>
      </c>
      <c r="C115" s="52" t="s">
        <v>1867</v>
      </c>
      <c r="D115" s="394" t="s">
        <v>403</v>
      </c>
      <c r="E115" s="389">
        <v>138</v>
      </c>
      <c r="F115" s="52" t="s">
        <v>1540</v>
      </c>
    </row>
    <row r="116" spans="2:6" ht="30">
      <c r="B116" s="52" t="s">
        <v>1827</v>
      </c>
      <c r="C116" s="52" t="s">
        <v>1826</v>
      </c>
      <c r="D116" s="508" t="s">
        <v>180</v>
      </c>
      <c r="E116" s="390">
        <v>168</v>
      </c>
      <c r="F116" s="508" t="s">
        <v>177</v>
      </c>
    </row>
    <row r="117" spans="2:6" ht="30">
      <c r="B117" s="508" t="s">
        <v>1854</v>
      </c>
      <c r="C117" s="508" t="s">
        <v>1853</v>
      </c>
      <c r="D117" s="508" t="s">
        <v>161</v>
      </c>
      <c r="E117" s="390">
        <v>172</v>
      </c>
      <c r="F117" s="51" t="s">
        <v>39</v>
      </c>
    </row>
    <row r="118" spans="2:6">
      <c r="B118" s="52" t="s">
        <v>1675</v>
      </c>
      <c r="C118" s="52"/>
      <c r="D118" s="51" t="s">
        <v>98</v>
      </c>
      <c r="E118" s="390">
        <v>35</v>
      </c>
      <c r="F118" s="508" t="s">
        <v>33</v>
      </c>
    </row>
    <row r="119" spans="2:6">
      <c r="B119" s="508" t="s">
        <v>1676</v>
      </c>
      <c r="C119" s="508"/>
      <c r="D119" s="394" t="s">
        <v>383</v>
      </c>
      <c r="E119" s="390">
        <v>109</v>
      </c>
      <c r="F119" s="52" t="s">
        <v>1540</v>
      </c>
    </row>
    <row r="120" spans="2:6" ht="45">
      <c r="B120" s="454" t="s">
        <v>1677</v>
      </c>
      <c r="C120" s="454" t="s">
        <v>1678</v>
      </c>
      <c r="D120" s="394" t="s">
        <v>1590</v>
      </c>
      <c r="E120" s="394">
        <v>251</v>
      </c>
      <c r="F120" s="508" t="s">
        <v>1540</v>
      </c>
    </row>
    <row r="121" spans="2:6">
      <c r="B121" s="52" t="s">
        <v>1679</v>
      </c>
      <c r="C121" s="52"/>
      <c r="D121" s="394" t="s">
        <v>400</v>
      </c>
      <c r="E121" s="390">
        <v>134</v>
      </c>
      <c r="F121" s="508" t="s">
        <v>1540</v>
      </c>
    </row>
    <row r="122" spans="2:6">
      <c r="B122" s="167" t="s">
        <v>1595</v>
      </c>
      <c r="C122" s="167"/>
      <c r="D122" s="394" t="s">
        <v>1591</v>
      </c>
      <c r="E122" s="394">
        <v>252</v>
      </c>
      <c r="F122" s="52" t="s">
        <v>1540</v>
      </c>
    </row>
    <row r="123" spans="2:6">
      <c r="B123" s="52" t="s">
        <v>1903</v>
      </c>
      <c r="C123" s="52" t="s">
        <v>1902</v>
      </c>
      <c r="D123" s="394" t="s">
        <v>407</v>
      </c>
      <c r="E123" s="389">
        <v>142</v>
      </c>
      <c r="F123" s="52" t="s">
        <v>1540</v>
      </c>
    </row>
    <row r="124" spans="2:6" ht="30">
      <c r="B124" s="52" t="s">
        <v>1810</v>
      </c>
      <c r="C124" s="52" t="s">
        <v>1808</v>
      </c>
      <c r="D124" s="394" t="s">
        <v>437</v>
      </c>
      <c r="E124" s="389">
        <v>217</v>
      </c>
      <c r="F124" s="53" t="s">
        <v>1540</v>
      </c>
    </row>
    <row r="125" spans="2:6">
      <c r="B125" s="52" t="s">
        <v>1713</v>
      </c>
      <c r="C125" s="52"/>
      <c r="D125" s="51" t="s">
        <v>121</v>
      </c>
      <c r="E125" s="390">
        <v>67</v>
      </c>
      <c r="F125" s="508" t="s">
        <v>30</v>
      </c>
    </row>
    <row r="126" spans="2:6">
      <c r="B126" s="52" t="s">
        <v>1715</v>
      </c>
      <c r="C126" s="52"/>
      <c r="D126" s="51" t="s">
        <v>61</v>
      </c>
      <c r="E126" s="390">
        <v>79</v>
      </c>
      <c r="F126" s="508" t="s">
        <v>30</v>
      </c>
    </row>
    <row r="127" spans="2:6">
      <c r="B127" s="52" t="s">
        <v>1718</v>
      </c>
      <c r="C127" s="52"/>
      <c r="D127" s="51" t="s">
        <v>62</v>
      </c>
      <c r="E127" s="390">
        <v>85</v>
      </c>
      <c r="F127" s="52" t="s">
        <v>44</v>
      </c>
    </row>
    <row r="128" spans="2:6">
      <c r="B128" s="52" t="s">
        <v>173</v>
      </c>
      <c r="C128" s="52"/>
      <c r="D128" s="51" t="s">
        <v>174</v>
      </c>
      <c r="E128" s="390">
        <v>151</v>
      </c>
      <c r="F128" s="51" t="s">
        <v>39</v>
      </c>
    </row>
    <row r="129" spans="2:6">
      <c r="B129" s="52" t="s">
        <v>1732</v>
      </c>
      <c r="C129" s="52"/>
      <c r="D129" s="51" t="s">
        <v>199</v>
      </c>
      <c r="E129" s="390">
        <v>1</v>
      </c>
      <c r="F129" s="508" t="s">
        <v>42</v>
      </c>
    </row>
    <row r="130" spans="2:6">
      <c r="B130" s="52" t="s">
        <v>1734</v>
      </c>
      <c r="C130" s="52" t="s">
        <v>1733</v>
      </c>
      <c r="D130" s="51" t="s">
        <v>216</v>
      </c>
      <c r="E130" s="389">
        <v>69</v>
      </c>
      <c r="F130" s="508" t="s">
        <v>46</v>
      </c>
    </row>
    <row r="131" spans="2:6">
      <c r="B131" s="52" t="s">
        <v>1770</v>
      </c>
      <c r="C131" s="52"/>
      <c r="D131" s="394" t="s">
        <v>480</v>
      </c>
      <c r="E131" s="425" t="s">
        <v>481</v>
      </c>
      <c r="F131" s="508" t="s">
        <v>1540</v>
      </c>
    </row>
    <row r="132" spans="2:6">
      <c r="B132" s="52" t="s">
        <v>1735</v>
      </c>
      <c r="C132" s="52"/>
      <c r="D132" s="508" t="s">
        <v>201</v>
      </c>
      <c r="E132" s="49">
        <v>2</v>
      </c>
      <c r="F132" s="52" t="s">
        <v>42</v>
      </c>
    </row>
    <row r="133" spans="2:6">
      <c r="B133" s="52" t="s">
        <v>1737</v>
      </c>
      <c r="C133" s="52"/>
      <c r="D133" s="508" t="s">
        <v>150</v>
      </c>
      <c r="E133" s="49">
        <v>152</v>
      </c>
      <c r="F133" s="51" t="s">
        <v>39</v>
      </c>
    </row>
    <row r="134" spans="2:6">
      <c r="B134" s="52" t="s">
        <v>1783</v>
      </c>
      <c r="C134" s="52"/>
      <c r="D134" s="394" t="s">
        <v>417</v>
      </c>
      <c r="E134" s="49">
        <v>161</v>
      </c>
      <c r="F134" s="51" t="s">
        <v>1540</v>
      </c>
    </row>
    <row r="135" spans="2:6">
      <c r="B135" s="52" t="s">
        <v>1740</v>
      </c>
      <c r="C135" s="52"/>
      <c r="D135" s="508" t="s">
        <v>203</v>
      </c>
      <c r="E135" s="49">
        <v>3</v>
      </c>
      <c r="F135" s="508" t="s">
        <v>42</v>
      </c>
    </row>
    <row r="136" spans="2:6">
      <c r="B136" s="52" t="s">
        <v>1741</v>
      </c>
      <c r="C136" s="52"/>
      <c r="D136" s="508" t="s">
        <v>178</v>
      </c>
      <c r="E136" s="49">
        <v>153</v>
      </c>
      <c r="F136" s="509" t="s">
        <v>177</v>
      </c>
    </row>
    <row r="137" spans="2:6">
      <c r="B137" s="52" t="s">
        <v>1758</v>
      </c>
      <c r="C137" s="52" t="s">
        <v>1759</v>
      </c>
      <c r="D137" s="51" t="s">
        <v>113</v>
      </c>
      <c r="E137" s="389">
        <v>102</v>
      </c>
      <c r="F137" s="508" t="s">
        <v>34</v>
      </c>
    </row>
    <row r="138" spans="2:6">
      <c r="B138" s="52" t="s">
        <v>1742</v>
      </c>
      <c r="C138" s="52"/>
      <c r="D138" s="508" t="s">
        <v>204</v>
      </c>
      <c r="E138" s="49">
        <v>4</v>
      </c>
      <c r="F138" s="508" t="s">
        <v>42</v>
      </c>
    </row>
    <row r="139" spans="2:6">
      <c r="B139" s="52" t="s">
        <v>1746</v>
      </c>
      <c r="C139" s="52"/>
      <c r="D139" s="394" t="s">
        <v>356</v>
      </c>
      <c r="E139" s="49">
        <v>62</v>
      </c>
      <c r="F139" s="52" t="s">
        <v>1540</v>
      </c>
    </row>
    <row r="140" spans="2:6">
      <c r="B140" s="52" t="s">
        <v>1748</v>
      </c>
      <c r="C140" s="52"/>
      <c r="D140" s="51" t="s">
        <v>185</v>
      </c>
      <c r="E140" s="49">
        <v>57</v>
      </c>
      <c r="F140" s="509" t="s">
        <v>41</v>
      </c>
    </row>
    <row r="141" spans="2:6">
      <c r="B141" s="52" t="s">
        <v>1780</v>
      </c>
      <c r="C141" s="52" t="s">
        <v>111</v>
      </c>
      <c r="D141" s="51" t="s">
        <v>112</v>
      </c>
      <c r="E141" s="49">
        <v>55</v>
      </c>
      <c r="F141" s="509" t="s">
        <v>34</v>
      </c>
    </row>
    <row r="142" spans="2:6">
      <c r="B142" s="52" t="s">
        <v>1749</v>
      </c>
      <c r="C142" s="52"/>
      <c r="D142" s="394" t="s">
        <v>412</v>
      </c>
      <c r="E142" s="49">
        <v>148</v>
      </c>
      <c r="F142" s="52" t="s">
        <v>1540</v>
      </c>
    </row>
    <row r="143" spans="2:6">
      <c r="B143" s="52" t="s">
        <v>1750</v>
      </c>
      <c r="C143" s="52"/>
      <c r="D143" s="508" t="s">
        <v>214</v>
      </c>
      <c r="E143" s="49">
        <v>60</v>
      </c>
      <c r="F143" s="52" t="s">
        <v>42</v>
      </c>
    </row>
    <row r="144" spans="2:6">
      <c r="B144" s="52" t="s">
        <v>1751</v>
      </c>
      <c r="C144" s="52"/>
      <c r="D144" s="508" t="s">
        <v>151</v>
      </c>
      <c r="E144" s="49">
        <v>154</v>
      </c>
      <c r="F144" s="51" t="s">
        <v>39</v>
      </c>
    </row>
    <row r="145" spans="2:6">
      <c r="B145" s="52" t="s">
        <v>1753</v>
      </c>
      <c r="C145" s="52"/>
      <c r="D145" s="51" t="s">
        <v>63</v>
      </c>
      <c r="E145" s="49">
        <v>64</v>
      </c>
      <c r="F145" s="52" t="s">
        <v>29</v>
      </c>
    </row>
    <row r="146" spans="2:6">
      <c r="B146" s="52" t="s">
        <v>1754</v>
      </c>
      <c r="C146" s="52"/>
      <c r="D146" s="51" t="s">
        <v>64</v>
      </c>
      <c r="E146" s="389">
        <v>58</v>
      </c>
      <c r="F146" s="508" t="s">
        <v>29</v>
      </c>
    </row>
    <row r="147" spans="2:6">
      <c r="B147" s="52" t="s">
        <v>1755</v>
      </c>
      <c r="C147" s="52"/>
      <c r="D147" s="51" t="s">
        <v>65</v>
      </c>
      <c r="E147" s="49">
        <v>53</v>
      </c>
      <c r="F147" s="52" t="s">
        <v>29</v>
      </c>
    </row>
    <row r="148" spans="2:6">
      <c r="B148" s="52" t="s">
        <v>1756</v>
      </c>
      <c r="C148" s="52"/>
      <c r="D148" s="508" t="s">
        <v>66</v>
      </c>
      <c r="E148" s="49">
        <v>201</v>
      </c>
      <c r="F148" s="508" t="s">
        <v>29</v>
      </c>
    </row>
    <row r="149" spans="2:6">
      <c r="B149" s="52" t="s">
        <v>1685</v>
      </c>
      <c r="C149" s="52" t="s">
        <v>56</v>
      </c>
      <c r="D149" s="51" t="s">
        <v>57</v>
      </c>
      <c r="E149" s="390">
        <v>91</v>
      </c>
      <c r="F149" s="52" t="s">
        <v>30</v>
      </c>
    </row>
    <row r="150" spans="2:6">
      <c r="B150" s="52" t="s">
        <v>1699</v>
      </c>
      <c r="C150" s="52" t="s">
        <v>1662</v>
      </c>
      <c r="D150" s="51" t="s">
        <v>58</v>
      </c>
      <c r="E150" s="389">
        <v>78</v>
      </c>
      <c r="F150" s="52" t="s">
        <v>30</v>
      </c>
    </row>
    <row r="151" spans="2:6">
      <c r="B151" s="52" t="s">
        <v>1757</v>
      </c>
      <c r="C151" s="52"/>
      <c r="D151" s="394" t="s">
        <v>442</v>
      </c>
      <c r="E151" s="389">
        <v>222</v>
      </c>
      <c r="F151" s="53" t="s">
        <v>1540</v>
      </c>
    </row>
    <row r="152" spans="2:6">
      <c r="B152" s="52" t="s">
        <v>1870</v>
      </c>
      <c r="C152" s="52"/>
      <c r="D152" s="394" t="s">
        <v>379</v>
      </c>
      <c r="E152" s="389">
        <v>101</v>
      </c>
      <c r="F152" s="52" t="s">
        <v>1540</v>
      </c>
    </row>
    <row r="153" spans="2:6">
      <c r="B153" s="52" t="s">
        <v>1762</v>
      </c>
      <c r="C153" s="52"/>
      <c r="D153" s="394" t="s">
        <v>413</v>
      </c>
      <c r="E153" s="49">
        <v>149</v>
      </c>
      <c r="F153" s="52" t="s">
        <v>1540</v>
      </c>
    </row>
    <row r="154" spans="2:6">
      <c r="B154" s="52" t="s">
        <v>476</v>
      </c>
      <c r="C154" s="52"/>
      <c r="D154" s="51" t="s">
        <v>625</v>
      </c>
      <c r="E154" s="425" t="s">
        <v>477</v>
      </c>
      <c r="F154" s="52" t="s">
        <v>1540</v>
      </c>
    </row>
    <row r="155" spans="2:6">
      <c r="B155" s="52" t="s">
        <v>1771</v>
      </c>
      <c r="C155" s="52"/>
      <c r="D155" s="394" t="s">
        <v>478</v>
      </c>
      <c r="E155" s="425" t="s">
        <v>479</v>
      </c>
      <c r="F155" s="508" t="s">
        <v>1540</v>
      </c>
    </row>
    <row r="156" spans="2:6">
      <c r="B156" s="52" t="s">
        <v>392</v>
      </c>
      <c r="C156" s="52"/>
      <c r="D156" s="394" t="s">
        <v>391</v>
      </c>
      <c r="E156" s="49">
        <v>123</v>
      </c>
      <c r="F156" s="508" t="s">
        <v>1540</v>
      </c>
    </row>
    <row r="157" spans="2:6">
      <c r="B157" s="52" t="s">
        <v>381</v>
      </c>
      <c r="C157" s="52"/>
      <c r="D157" s="394" t="s">
        <v>380</v>
      </c>
      <c r="E157" s="49">
        <v>105</v>
      </c>
      <c r="F157" s="52" t="s">
        <v>1540</v>
      </c>
    </row>
    <row r="158" spans="2:6">
      <c r="B158" s="508" t="s">
        <v>1760</v>
      </c>
      <c r="C158" s="508"/>
      <c r="D158" s="394" t="s">
        <v>415</v>
      </c>
      <c r="E158" s="49">
        <v>155</v>
      </c>
      <c r="F158" s="51" t="s">
        <v>1540</v>
      </c>
    </row>
    <row r="159" spans="2:6">
      <c r="B159" s="52" t="s">
        <v>1761</v>
      </c>
      <c r="C159" s="52"/>
      <c r="D159" s="52" t="s">
        <v>152</v>
      </c>
      <c r="E159" s="49">
        <v>156</v>
      </c>
      <c r="F159" s="51" t="s">
        <v>39</v>
      </c>
    </row>
    <row r="160" spans="2:6">
      <c r="B160" s="52" t="s">
        <v>1812</v>
      </c>
      <c r="C160" s="52"/>
      <c r="D160" s="508" t="s">
        <v>77</v>
      </c>
      <c r="E160" s="49">
        <v>107</v>
      </c>
      <c r="F160" s="508" t="s">
        <v>46</v>
      </c>
    </row>
    <row r="161" spans="2:12">
      <c r="B161" s="509" t="s">
        <v>1873</v>
      </c>
      <c r="C161" s="509"/>
      <c r="D161" s="394" t="s">
        <v>425</v>
      </c>
      <c r="E161" s="49">
        <v>202</v>
      </c>
      <c r="F161" s="508" t="s">
        <v>1540</v>
      </c>
    </row>
    <row r="162" spans="2:12">
      <c r="B162" s="52" t="s">
        <v>542</v>
      </c>
      <c r="C162" s="52"/>
      <c r="D162" s="508" t="s">
        <v>139</v>
      </c>
      <c r="E162" s="389">
        <v>128</v>
      </c>
      <c r="F162" s="508" t="s">
        <v>37</v>
      </c>
    </row>
    <row r="163" spans="2:12">
      <c r="B163" s="52" t="s">
        <v>1763</v>
      </c>
      <c r="C163" s="52" t="s">
        <v>1764</v>
      </c>
      <c r="D163" s="508" t="s">
        <v>153</v>
      </c>
      <c r="E163" s="49">
        <v>157</v>
      </c>
      <c r="F163" s="51" t="s">
        <v>39</v>
      </c>
    </row>
    <row r="164" spans="2:12">
      <c r="B164" s="52" t="s">
        <v>1765</v>
      </c>
      <c r="C164" s="52"/>
      <c r="D164" s="51" t="s">
        <v>67</v>
      </c>
      <c r="E164" s="49">
        <v>14</v>
      </c>
      <c r="F164" s="508" t="s">
        <v>29</v>
      </c>
    </row>
    <row r="165" spans="2:12" ht="30">
      <c r="B165" s="52" t="s">
        <v>1710</v>
      </c>
      <c r="C165" s="52" t="s">
        <v>1674</v>
      </c>
      <c r="D165" s="394" t="s">
        <v>395</v>
      </c>
      <c r="E165" s="390">
        <v>126</v>
      </c>
      <c r="F165" s="508" t="s">
        <v>1540</v>
      </c>
    </row>
    <row r="166" spans="2:12">
      <c r="B166" s="508" t="s">
        <v>1766</v>
      </c>
      <c r="C166" s="508"/>
      <c r="D166" s="51" t="s">
        <v>68</v>
      </c>
      <c r="E166" s="49">
        <v>48</v>
      </c>
      <c r="F166" s="509" t="s">
        <v>29</v>
      </c>
    </row>
    <row r="167" spans="2:12">
      <c r="B167" s="52" t="s">
        <v>1767</v>
      </c>
      <c r="C167" s="52"/>
      <c r="D167" s="508" t="s">
        <v>69</v>
      </c>
      <c r="E167" s="49">
        <v>111</v>
      </c>
      <c r="F167" s="508" t="s">
        <v>29</v>
      </c>
    </row>
    <row r="168" spans="2:12">
      <c r="B168" s="52" t="s">
        <v>1768</v>
      </c>
      <c r="C168" s="52"/>
      <c r="D168" s="394" t="s">
        <v>416</v>
      </c>
      <c r="E168" s="49">
        <v>158</v>
      </c>
      <c r="F168" s="51" t="s">
        <v>1540</v>
      </c>
    </row>
    <row r="169" spans="2:12">
      <c r="B169" s="52" t="s">
        <v>1769</v>
      </c>
      <c r="C169" s="52"/>
      <c r="D169" s="508" t="s">
        <v>172</v>
      </c>
      <c r="E169" s="389">
        <v>159</v>
      </c>
      <c r="F169" s="52" t="s">
        <v>39</v>
      </c>
    </row>
    <row r="170" spans="2:12">
      <c r="B170" s="508" t="s">
        <v>1707</v>
      </c>
      <c r="C170" s="508" t="s">
        <v>549</v>
      </c>
      <c r="D170" s="508" t="s">
        <v>146</v>
      </c>
      <c r="E170" s="389">
        <v>190</v>
      </c>
      <c r="F170" s="508" t="s">
        <v>37</v>
      </c>
    </row>
    <row r="171" spans="2:12">
      <c r="B171" s="508" t="s">
        <v>1773</v>
      </c>
      <c r="C171" s="508"/>
      <c r="D171" s="508" t="s">
        <v>205</v>
      </c>
      <c r="E171" s="389">
        <v>5</v>
      </c>
      <c r="F171" s="508" t="s">
        <v>42</v>
      </c>
    </row>
    <row r="172" spans="2:12" ht="30">
      <c r="B172" s="508" t="s">
        <v>1919</v>
      </c>
      <c r="C172" s="508" t="s">
        <v>347</v>
      </c>
      <c r="D172" s="51" t="s">
        <v>348</v>
      </c>
      <c r="E172" s="390">
        <v>28</v>
      </c>
      <c r="F172" s="508" t="s">
        <v>349</v>
      </c>
    </row>
    <row r="173" spans="2:12" s="424" customFormat="1">
      <c r="B173" s="508" t="s">
        <v>1777</v>
      </c>
      <c r="C173" s="508"/>
      <c r="D173" s="51" t="s">
        <v>70</v>
      </c>
      <c r="E173" s="389">
        <v>49</v>
      </c>
      <c r="F173" s="509" t="s">
        <v>28</v>
      </c>
      <c r="J173"/>
      <c r="K173"/>
      <c r="L173"/>
    </row>
    <row r="174" spans="2:12">
      <c r="B174" s="508" t="s">
        <v>1778</v>
      </c>
      <c r="C174" s="508"/>
      <c r="D174" s="508" t="s">
        <v>154</v>
      </c>
      <c r="E174" s="389">
        <v>160</v>
      </c>
      <c r="F174" s="51" t="s">
        <v>39</v>
      </c>
    </row>
    <row r="175" spans="2:12">
      <c r="B175" s="509" t="s">
        <v>1785</v>
      </c>
      <c r="C175" s="509"/>
      <c r="D175" s="394" t="s">
        <v>429</v>
      </c>
      <c r="E175" s="389">
        <v>209</v>
      </c>
      <c r="F175" s="53" t="s">
        <v>1540</v>
      </c>
    </row>
    <row r="176" spans="2:12">
      <c r="B176" s="508" t="s">
        <v>1797</v>
      </c>
      <c r="C176" s="508" t="s">
        <v>1796</v>
      </c>
      <c r="D176" s="394" t="s">
        <v>411</v>
      </c>
      <c r="E176" s="390">
        <v>147</v>
      </c>
      <c r="F176" s="52" t="s">
        <v>1540</v>
      </c>
    </row>
    <row r="177" spans="2:12">
      <c r="B177" s="508" t="s">
        <v>1786</v>
      </c>
      <c r="C177" s="508"/>
      <c r="D177" s="394" t="s">
        <v>449</v>
      </c>
      <c r="E177" s="389">
        <v>228</v>
      </c>
      <c r="F177" s="53" t="s">
        <v>1540</v>
      </c>
    </row>
    <row r="178" spans="2:12" s="424" customFormat="1">
      <c r="B178" s="508" t="s">
        <v>1787</v>
      </c>
      <c r="C178" s="508"/>
      <c r="D178" s="508" t="s">
        <v>149</v>
      </c>
      <c r="E178" s="389">
        <v>196</v>
      </c>
      <c r="F178" s="509" t="s">
        <v>38</v>
      </c>
      <c r="J178"/>
      <c r="K178"/>
      <c r="L178"/>
    </row>
    <row r="179" spans="2:12">
      <c r="B179" s="508" t="s">
        <v>1788</v>
      </c>
      <c r="C179" s="508"/>
      <c r="D179" s="394" t="s">
        <v>382</v>
      </c>
      <c r="E179" s="389">
        <v>106</v>
      </c>
      <c r="F179" s="52" t="s">
        <v>1540</v>
      </c>
    </row>
    <row r="180" spans="2:12">
      <c r="B180" s="508" t="s">
        <v>1789</v>
      </c>
      <c r="C180" s="508"/>
      <c r="D180" s="51" t="s">
        <v>71</v>
      </c>
      <c r="E180" s="390">
        <v>54</v>
      </c>
      <c r="F180" s="508" t="s">
        <v>29</v>
      </c>
    </row>
    <row r="181" spans="2:12">
      <c r="B181" s="508" t="s">
        <v>1802</v>
      </c>
      <c r="C181" s="508"/>
      <c r="D181" s="508" t="s">
        <v>115</v>
      </c>
      <c r="E181" s="390">
        <v>104</v>
      </c>
      <c r="F181" s="52" t="s">
        <v>34</v>
      </c>
    </row>
    <row r="182" spans="2:12">
      <c r="B182" s="508" t="s">
        <v>1790</v>
      </c>
      <c r="C182" s="508"/>
      <c r="D182" s="508" t="s">
        <v>179</v>
      </c>
      <c r="E182" s="390">
        <v>164</v>
      </c>
      <c r="F182" s="52" t="s">
        <v>177</v>
      </c>
    </row>
    <row r="183" spans="2:12" ht="45">
      <c r="B183" s="508" t="s">
        <v>1694</v>
      </c>
      <c r="C183" s="550" t="s">
        <v>1695</v>
      </c>
      <c r="D183" s="508" t="s">
        <v>176</v>
      </c>
      <c r="E183" s="390">
        <v>193</v>
      </c>
      <c r="F183" s="509" t="s">
        <v>177</v>
      </c>
    </row>
    <row r="184" spans="2:12">
      <c r="B184" s="508" t="s">
        <v>543</v>
      </c>
      <c r="C184" s="508"/>
      <c r="D184" s="508" t="s">
        <v>142</v>
      </c>
      <c r="E184" s="390">
        <v>131</v>
      </c>
      <c r="F184" s="508" t="s">
        <v>37</v>
      </c>
    </row>
    <row r="185" spans="2:12">
      <c r="B185" s="508" t="s">
        <v>1792</v>
      </c>
      <c r="C185" s="508"/>
      <c r="D185" s="508" t="s">
        <v>76</v>
      </c>
      <c r="E185" s="390">
        <v>204</v>
      </c>
      <c r="F185" s="508" t="s">
        <v>30</v>
      </c>
    </row>
    <row r="186" spans="2:12">
      <c r="B186" s="508" t="s">
        <v>1793</v>
      </c>
      <c r="C186" s="508"/>
      <c r="D186" s="508" t="s">
        <v>114</v>
      </c>
      <c r="E186" s="390">
        <v>103</v>
      </c>
      <c r="F186" s="508" t="s">
        <v>34</v>
      </c>
    </row>
    <row r="187" spans="2:12">
      <c r="B187" s="52" t="s">
        <v>1795</v>
      </c>
      <c r="C187" s="52" t="s">
        <v>1794</v>
      </c>
      <c r="D187" s="394" t="s">
        <v>377</v>
      </c>
      <c r="E187" s="390">
        <v>99</v>
      </c>
      <c r="F187" s="52" t="s">
        <v>1540</v>
      </c>
    </row>
    <row r="188" spans="2:12" ht="30">
      <c r="B188" s="110" t="s">
        <v>1945</v>
      </c>
      <c r="C188" s="547" t="s">
        <v>1944</v>
      </c>
      <c r="D188" s="547" t="s">
        <v>1943</v>
      </c>
      <c r="E188" s="390">
        <v>253</v>
      </c>
      <c r="F188" s="425" t="s">
        <v>1540</v>
      </c>
    </row>
    <row r="189" spans="2:12">
      <c r="B189" s="509" t="s">
        <v>1801</v>
      </c>
      <c r="C189" s="509"/>
      <c r="D189" s="394" t="s">
        <v>433</v>
      </c>
      <c r="E189" s="390">
        <v>213</v>
      </c>
      <c r="F189" s="53" t="s">
        <v>1540</v>
      </c>
    </row>
    <row r="190" spans="2:12">
      <c r="B190" s="52" t="s">
        <v>1804</v>
      </c>
      <c r="C190" s="52" t="s">
        <v>1803</v>
      </c>
      <c r="D190" s="394" t="s">
        <v>410</v>
      </c>
      <c r="E190" s="390">
        <v>146</v>
      </c>
      <c r="F190" s="508" t="s">
        <v>1540</v>
      </c>
    </row>
    <row r="191" spans="2:12">
      <c r="B191" s="52" t="s">
        <v>1747</v>
      </c>
      <c r="C191" s="52"/>
      <c r="D191" s="394" t="s">
        <v>384</v>
      </c>
      <c r="E191" s="49">
        <v>112</v>
      </c>
      <c r="F191" s="52" t="s">
        <v>1540</v>
      </c>
    </row>
    <row r="192" spans="2:12">
      <c r="B192" s="52" t="s">
        <v>1806</v>
      </c>
      <c r="C192" s="52" t="s">
        <v>1805</v>
      </c>
      <c r="D192" s="394" t="s">
        <v>365</v>
      </c>
      <c r="E192" s="390">
        <v>83</v>
      </c>
      <c r="F192" s="508" t="s">
        <v>1540</v>
      </c>
    </row>
    <row r="193" spans="2:6" ht="30">
      <c r="B193" s="52" t="s">
        <v>1809</v>
      </c>
      <c r="C193" s="52" t="s">
        <v>1807</v>
      </c>
      <c r="D193" s="394" t="s">
        <v>436</v>
      </c>
      <c r="E193" s="390">
        <v>216</v>
      </c>
      <c r="F193" s="53" t="s">
        <v>1540</v>
      </c>
    </row>
    <row r="194" spans="2:6">
      <c r="B194" s="52" t="s">
        <v>1811</v>
      </c>
      <c r="C194" s="52"/>
      <c r="D194" s="508" t="s">
        <v>148</v>
      </c>
      <c r="E194" s="49">
        <v>200</v>
      </c>
      <c r="F194" s="508" t="s">
        <v>38</v>
      </c>
    </row>
    <row r="195" spans="2:6">
      <c r="B195" s="52" t="s">
        <v>1813</v>
      </c>
      <c r="C195" s="52"/>
      <c r="D195" s="508" t="s">
        <v>156</v>
      </c>
      <c r="E195" s="49">
        <v>166</v>
      </c>
      <c r="F195" s="51" t="s">
        <v>39</v>
      </c>
    </row>
    <row r="196" spans="2:6">
      <c r="B196" s="52" t="s">
        <v>1814</v>
      </c>
      <c r="C196" s="52"/>
      <c r="D196" s="394" t="s">
        <v>393</v>
      </c>
      <c r="E196" s="49">
        <v>124</v>
      </c>
      <c r="F196" s="508" t="s">
        <v>1540</v>
      </c>
    </row>
    <row r="197" spans="2:6" ht="45">
      <c r="B197" s="52" t="s">
        <v>1915</v>
      </c>
      <c r="C197" s="52" t="s">
        <v>1916</v>
      </c>
      <c r="D197" s="394" t="s">
        <v>450</v>
      </c>
      <c r="E197" s="49">
        <v>229</v>
      </c>
      <c r="F197" s="53" t="s">
        <v>1540</v>
      </c>
    </row>
    <row r="198" spans="2:6">
      <c r="B198" s="52" t="s">
        <v>1824</v>
      </c>
      <c r="C198" s="52" t="s">
        <v>1165</v>
      </c>
      <c r="D198" s="394" t="s">
        <v>457</v>
      </c>
      <c r="E198" s="389">
        <v>237</v>
      </c>
      <c r="F198" s="53" t="s">
        <v>1540</v>
      </c>
    </row>
    <row r="199" spans="2:6">
      <c r="B199" s="508" t="s">
        <v>1821</v>
      </c>
      <c r="C199" s="508"/>
      <c r="D199" s="394" t="s">
        <v>375</v>
      </c>
      <c r="E199" s="389">
        <v>97</v>
      </c>
      <c r="F199" s="52" t="s">
        <v>1540</v>
      </c>
    </row>
    <row r="200" spans="2:6">
      <c r="B200" s="508" t="s">
        <v>1822</v>
      </c>
      <c r="C200" s="508"/>
      <c r="D200" s="394" t="s">
        <v>452</v>
      </c>
      <c r="E200" s="389">
        <v>231</v>
      </c>
      <c r="F200" s="53" t="s">
        <v>1540</v>
      </c>
    </row>
    <row r="201" spans="2:6">
      <c r="B201" s="508" t="s">
        <v>1823</v>
      </c>
      <c r="C201" s="508"/>
      <c r="D201" s="508" t="s">
        <v>157</v>
      </c>
      <c r="E201" s="389">
        <v>167</v>
      </c>
      <c r="F201" s="51" t="s">
        <v>39</v>
      </c>
    </row>
    <row r="202" spans="2:6" s="424" customFormat="1">
      <c r="B202" s="508" t="s">
        <v>1716</v>
      </c>
      <c r="C202" s="508"/>
      <c r="D202" s="508" t="s">
        <v>60</v>
      </c>
      <c r="E202" s="390">
        <v>203</v>
      </c>
      <c r="F202" s="52" t="s">
        <v>30</v>
      </c>
    </row>
    <row r="203" spans="2:6">
      <c r="B203" s="508" t="s">
        <v>1829</v>
      </c>
      <c r="C203" s="508"/>
      <c r="D203" s="51" t="s">
        <v>120</v>
      </c>
      <c r="E203" s="390">
        <v>66</v>
      </c>
      <c r="F203" s="508" t="s">
        <v>30</v>
      </c>
    </row>
    <row r="204" spans="2:6">
      <c r="B204" s="384" t="s">
        <v>1830</v>
      </c>
      <c r="C204" s="385"/>
      <c r="D204" s="384" t="s">
        <v>1550</v>
      </c>
      <c r="E204" s="384">
        <v>242</v>
      </c>
      <c r="F204" s="508" t="s">
        <v>1540</v>
      </c>
    </row>
    <row r="205" spans="2:6">
      <c r="B205" s="508" t="s">
        <v>1875</v>
      </c>
      <c r="C205" s="508" t="s">
        <v>1874</v>
      </c>
      <c r="D205" s="394" t="s">
        <v>368</v>
      </c>
      <c r="E205" s="389">
        <v>88</v>
      </c>
      <c r="F205" s="52" t="s">
        <v>1540</v>
      </c>
    </row>
    <row r="206" spans="2:6">
      <c r="B206" s="509" t="s">
        <v>1831</v>
      </c>
      <c r="C206" s="509"/>
      <c r="D206" s="394" t="s">
        <v>428</v>
      </c>
      <c r="E206" s="390">
        <v>208</v>
      </c>
      <c r="F206" s="53" t="s">
        <v>1540</v>
      </c>
    </row>
    <row r="207" spans="2:6">
      <c r="B207" s="508" t="s">
        <v>1832</v>
      </c>
      <c r="C207" s="508"/>
      <c r="D207" s="394" t="s">
        <v>440</v>
      </c>
      <c r="E207" s="390">
        <v>220</v>
      </c>
      <c r="F207" s="53" t="s">
        <v>1540</v>
      </c>
    </row>
    <row r="208" spans="2:6">
      <c r="B208" s="508" t="s">
        <v>1817</v>
      </c>
      <c r="C208" s="508"/>
      <c r="D208" s="508" t="s">
        <v>140</v>
      </c>
      <c r="E208" s="389">
        <v>133</v>
      </c>
      <c r="F208" s="508" t="s">
        <v>37</v>
      </c>
    </row>
    <row r="209" spans="2:11">
      <c r="B209" s="544" t="s">
        <v>1956</v>
      </c>
      <c r="C209" s="545"/>
      <c r="D209" s="385" t="s">
        <v>1952</v>
      </c>
      <c r="E209" s="390">
        <v>255</v>
      </c>
      <c r="F209" s="425" t="s">
        <v>1540</v>
      </c>
    </row>
    <row r="210" spans="2:11">
      <c r="B210" s="52" t="s">
        <v>1833</v>
      </c>
      <c r="C210" s="52"/>
      <c r="D210" s="51" t="s">
        <v>119</v>
      </c>
      <c r="E210" s="390">
        <v>24</v>
      </c>
      <c r="F210" s="52" t="s">
        <v>37</v>
      </c>
    </row>
    <row r="211" spans="2:11">
      <c r="B211" s="52" t="s">
        <v>1834</v>
      </c>
      <c r="C211" s="52"/>
      <c r="D211" s="508" t="s">
        <v>78</v>
      </c>
      <c r="E211" s="390">
        <v>114</v>
      </c>
      <c r="F211" s="508" t="s">
        <v>29</v>
      </c>
    </row>
    <row r="212" spans="2:11">
      <c r="B212" s="52" t="s">
        <v>1719</v>
      </c>
      <c r="C212" s="52" t="s">
        <v>1720</v>
      </c>
      <c r="D212" s="52" t="s">
        <v>221</v>
      </c>
      <c r="E212" s="390">
        <v>71</v>
      </c>
      <c r="F212" s="508" t="s">
        <v>46</v>
      </c>
    </row>
    <row r="213" spans="2:11">
      <c r="B213" s="52" t="s">
        <v>1721</v>
      </c>
      <c r="C213" s="52" t="s">
        <v>1722</v>
      </c>
      <c r="D213" s="51" t="s">
        <v>218</v>
      </c>
      <c r="E213" s="390">
        <v>70</v>
      </c>
      <c r="F213" s="508" t="s">
        <v>46</v>
      </c>
    </row>
    <row r="214" spans="2:11">
      <c r="B214" s="52" t="s">
        <v>1825</v>
      </c>
      <c r="C214" s="52"/>
      <c r="D214" s="394" t="s">
        <v>482</v>
      </c>
      <c r="E214" s="425" t="s">
        <v>483</v>
      </c>
      <c r="F214" s="52" t="s">
        <v>1540</v>
      </c>
    </row>
    <row r="215" spans="2:11">
      <c r="B215" s="52" t="s">
        <v>1846</v>
      </c>
      <c r="C215" s="52"/>
      <c r="D215" s="508" t="s">
        <v>160</v>
      </c>
      <c r="E215" s="389">
        <v>171</v>
      </c>
      <c r="F215" s="51" t="s">
        <v>39</v>
      </c>
    </row>
    <row r="216" spans="2:11">
      <c r="B216" s="52" t="s">
        <v>1847</v>
      </c>
      <c r="C216" s="52"/>
      <c r="D216" s="394" t="s">
        <v>414</v>
      </c>
      <c r="E216" s="49">
        <v>150</v>
      </c>
      <c r="F216" s="52" t="s">
        <v>1540</v>
      </c>
    </row>
    <row r="217" spans="2:11">
      <c r="B217" s="508" t="s">
        <v>484</v>
      </c>
      <c r="C217" s="508"/>
      <c r="D217" s="394" t="s">
        <v>485</v>
      </c>
      <c r="E217" s="425" t="s">
        <v>486</v>
      </c>
      <c r="F217" s="508" t="s">
        <v>1540</v>
      </c>
    </row>
    <row r="218" spans="2:11">
      <c r="B218" s="508" t="s">
        <v>1848</v>
      </c>
      <c r="C218" s="508"/>
      <c r="D218" s="508" t="s">
        <v>207</v>
      </c>
      <c r="E218" s="389">
        <v>7</v>
      </c>
      <c r="F218" s="508" t="s">
        <v>42</v>
      </c>
    </row>
    <row r="219" spans="2:11">
      <c r="B219" s="508" t="s">
        <v>1775</v>
      </c>
      <c r="C219" s="508"/>
      <c r="D219" s="51" t="s">
        <v>90</v>
      </c>
      <c r="E219" s="389">
        <v>26</v>
      </c>
      <c r="F219" s="508" t="s">
        <v>32</v>
      </c>
    </row>
    <row r="220" spans="2:11">
      <c r="B220" s="544" t="s">
        <v>1957</v>
      </c>
      <c r="C220" s="545"/>
      <c r="D220" s="385" t="s">
        <v>1953</v>
      </c>
      <c r="E220" s="390">
        <v>256</v>
      </c>
      <c r="F220" s="425" t="s">
        <v>1540</v>
      </c>
    </row>
    <row r="221" spans="2:11" ht="45">
      <c r="B221" s="508" t="s">
        <v>1684</v>
      </c>
      <c r="C221" s="508" t="s">
        <v>1634</v>
      </c>
      <c r="D221" s="394" t="s">
        <v>371</v>
      </c>
      <c r="E221" s="390">
        <v>93</v>
      </c>
      <c r="F221" s="508" t="s">
        <v>1540</v>
      </c>
    </row>
    <row r="222" spans="2:11">
      <c r="B222" s="508" t="s">
        <v>1857</v>
      </c>
      <c r="C222" s="508"/>
      <c r="D222" s="508" t="s">
        <v>163</v>
      </c>
      <c r="E222" s="390">
        <v>174</v>
      </c>
      <c r="F222" s="51" t="s">
        <v>39</v>
      </c>
    </row>
    <row r="223" spans="2:11" s="424" customFormat="1">
      <c r="B223" s="508" t="s">
        <v>1858</v>
      </c>
      <c r="C223" s="508"/>
      <c r="D223" s="51" t="s">
        <v>81</v>
      </c>
      <c r="E223" s="390">
        <v>77</v>
      </c>
      <c r="F223" s="508" t="s">
        <v>30</v>
      </c>
      <c r="H223"/>
      <c r="I223"/>
      <c r="J223"/>
      <c r="K223"/>
    </row>
    <row r="224" spans="2:11">
      <c r="B224" s="508" t="s">
        <v>1881</v>
      </c>
      <c r="C224" s="508" t="s">
        <v>1880</v>
      </c>
      <c r="D224" s="508" t="s">
        <v>82</v>
      </c>
      <c r="E224" s="390">
        <v>113</v>
      </c>
      <c r="F224" s="508" t="s">
        <v>30</v>
      </c>
    </row>
    <row r="225" spans="2:10">
      <c r="B225" s="508" t="s">
        <v>1901</v>
      </c>
      <c r="C225" s="508" t="s">
        <v>1900</v>
      </c>
      <c r="D225" s="394" t="s">
        <v>406</v>
      </c>
      <c r="E225" s="389">
        <v>141</v>
      </c>
      <c r="F225" s="508" t="s">
        <v>1540</v>
      </c>
    </row>
    <row r="226" spans="2:10">
      <c r="B226" s="52" t="s">
        <v>1860</v>
      </c>
      <c r="C226" s="52"/>
      <c r="D226" s="52" t="s">
        <v>164</v>
      </c>
      <c r="E226" s="390">
        <v>175</v>
      </c>
      <c r="F226" s="51" t="s">
        <v>39</v>
      </c>
    </row>
    <row r="227" spans="2:10">
      <c r="B227" s="52" t="s">
        <v>1863</v>
      </c>
      <c r="C227" s="52"/>
      <c r="D227" s="508" t="s">
        <v>420</v>
      </c>
      <c r="E227" s="49">
        <v>177</v>
      </c>
      <c r="F227" s="51" t="s">
        <v>1540</v>
      </c>
    </row>
    <row r="228" spans="2:10">
      <c r="B228" s="508" t="s">
        <v>1864</v>
      </c>
      <c r="C228" s="508"/>
      <c r="D228" s="394" t="s">
        <v>443</v>
      </c>
      <c r="E228" s="389">
        <v>223</v>
      </c>
      <c r="F228" s="53" t="s">
        <v>1540</v>
      </c>
    </row>
    <row r="229" spans="2:10">
      <c r="B229" s="508" t="s">
        <v>1865</v>
      </c>
      <c r="C229" s="508"/>
      <c r="D229" s="508" t="s">
        <v>208</v>
      </c>
      <c r="E229" s="389">
        <v>8</v>
      </c>
      <c r="F229" s="508" t="s">
        <v>42</v>
      </c>
    </row>
    <row r="230" spans="2:10">
      <c r="B230" s="52" t="s">
        <v>1866</v>
      </c>
      <c r="C230" s="52"/>
      <c r="D230" s="508" t="s">
        <v>166</v>
      </c>
      <c r="E230" s="389">
        <v>178</v>
      </c>
      <c r="F230" s="51" t="s">
        <v>39</v>
      </c>
    </row>
    <row r="231" spans="2:10">
      <c r="B231" s="385" t="s">
        <v>1791</v>
      </c>
      <c r="C231" s="385"/>
      <c r="D231" s="384" t="s">
        <v>1547</v>
      </c>
      <c r="E231" s="384">
        <v>239</v>
      </c>
      <c r="F231" s="508" t="s">
        <v>1540</v>
      </c>
    </row>
    <row r="232" spans="2:10">
      <c r="B232" s="110" t="s">
        <v>1798</v>
      </c>
      <c r="C232" s="110"/>
      <c r="D232" s="384" t="s">
        <v>1546</v>
      </c>
      <c r="E232" s="384">
        <v>238</v>
      </c>
      <c r="F232" s="52" t="s">
        <v>1540</v>
      </c>
    </row>
    <row r="233" spans="2:10">
      <c r="B233" s="52" t="s">
        <v>1800</v>
      </c>
      <c r="C233" s="52" t="s">
        <v>1799</v>
      </c>
      <c r="D233" s="394" t="s">
        <v>357</v>
      </c>
      <c r="E233" s="390">
        <v>68</v>
      </c>
      <c r="F233" s="508" t="s">
        <v>1540</v>
      </c>
    </row>
    <row r="234" spans="2:10">
      <c r="B234" s="52" t="s">
        <v>1869</v>
      </c>
      <c r="C234" s="52"/>
      <c r="D234" s="394" t="s">
        <v>441</v>
      </c>
      <c r="E234" s="389">
        <v>221</v>
      </c>
      <c r="F234" s="53" t="s">
        <v>1540</v>
      </c>
    </row>
    <row r="235" spans="2:10">
      <c r="B235" s="385" t="s">
        <v>1859</v>
      </c>
      <c r="C235" s="385"/>
      <c r="D235" s="384" t="s">
        <v>1548</v>
      </c>
      <c r="E235" s="384">
        <v>240</v>
      </c>
      <c r="F235" s="508" t="s">
        <v>1540</v>
      </c>
    </row>
    <row r="236" spans="2:10">
      <c r="B236" s="52" t="s">
        <v>1835</v>
      </c>
      <c r="C236" s="52"/>
      <c r="D236" s="394" t="s">
        <v>424</v>
      </c>
      <c r="E236" s="390">
        <v>197</v>
      </c>
      <c r="F236" s="509" t="s">
        <v>1540</v>
      </c>
    </row>
    <row r="237" spans="2:10">
      <c r="B237" s="508" t="s">
        <v>1723</v>
      </c>
      <c r="C237" s="508"/>
      <c r="D237" s="508" t="s">
        <v>225</v>
      </c>
      <c r="E237" s="390">
        <v>73</v>
      </c>
      <c r="F237" s="52" t="s">
        <v>46</v>
      </c>
    </row>
    <row r="238" spans="2:10">
      <c r="B238" s="508" t="s">
        <v>1739</v>
      </c>
      <c r="C238" s="508"/>
      <c r="D238" s="508" t="s">
        <v>473</v>
      </c>
      <c r="E238" s="425" t="s">
        <v>474</v>
      </c>
      <c r="F238" s="51" t="s">
        <v>1540</v>
      </c>
    </row>
    <row r="239" spans="2:10" s="424" customFormat="1">
      <c r="B239" s="508" t="s">
        <v>1776</v>
      </c>
      <c r="C239" s="508"/>
      <c r="D239" s="51" t="s">
        <v>89</v>
      </c>
      <c r="E239" s="389">
        <v>25</v>
      </c>
      <c r="F239" s="52" t="s">
        <v>32</v>
      </c>
      <c r="H239"/>
      <c r="I239"/>
      <c r="J239"/>
    </row>
    <row r="240" spans="2:10" ht="30">
      <c r="B240" s="508" t="s">
        <v>1838</v>
      </c>
      <c r="C240" s="508" t="s">
        <v>1839</v>
      </c>
      <c r="D240" s="51" t="s">
        <v>192</v>
      </c>
      <c r="E240" s="389">
        <v>82</v>
      </c>
      <c r="F240" s="508" t="s">
        <v>190</v>
      </c>
    </row>
    <row r="241" spans="2:6">
      <c r="B241" s="544" t="s">
        <v>1958</v>
      </c>
      <c r="C241" s="545"/>
      <c r="D241" s="385" t="s">
        <v>1954</v>
      </c>
      <c r="E241" s="390">
        <v>257</v>
      </c>
      <c r="F241" s="425" t="s">
        <v>1540</v>
      </c>
    </row>
    <row r="242" spans="2:6" ht="30">
      <c r="B242" s="167" t="s">
        <v>1683</v>
      </c>
      <c r="C242" s="454" t="s">
        <v>1593</v>
      </c>
      <c r="D242" s="394" t="s">
        <v>1585</v>
      </c>
      <c r="E242" s="394">
        <v>246</v>
      </c>
      <c r="F242" s="508" t="s">
        <v>1540</v>
      </c>
    </row>
    <row r="243" spans="2:6">
      <c r="B243" s="384" t="s">
        <v>1582</v>
      </c>
      <c r="C243" s="384"/>
      <c r="D243" s="384" t="s">
        <v>1549</v>
      </c>
      <c r="E243" s="384">
        <v>241</v>
      </c>
      <c r="F243" s="508" t="s">
        <v>1540</v>
      </c>
    </row>
    <row r="244" spans="2:6" ht="30">
      <c r="B244" s="52" t="s">
        <v>1725</v>
      </c>
      <c r="C244" s="52" t="s">
        <v>1724</v>
      </c>
      <c r="D244" s="394" t="s">
        <v>1573</v>
      </c>
      <c r="E244" s="394" t="s">
        <v>1574</v>
      </c>
      <c r="F244" s="52" t="s">
        <v>1540</v>
      </c>
    </row>
    <row r="245" spans="2:6" ht="30">
      <c r="B245" s="52" t="s">
        <v>1883</v>
      </c>
      <c r="C245" s="52" t="s">
        <v>1884</v>
      </c>
      <c r="D245" s="394" t="s">
        <v>438</v>
      </c>
      <c r="E245" s="390">
        <v>218</v>
      </c>
      <c r="F245" s="53" t="s">
        <v>1540</v>
      </c>
    </row>
    <row r="246" spans="2:6">
      <c r="B246" s="52" t="s">
        <v>1774</v>
      </c>
      <c r="C246" s="52"/>
      <c r="D246" s="51" t="s">
        <v>91</v>
      </c>
      <c r="E246" s="49">
        <v>27</v>
      </c>
      <c r="F246" s="52" t="s">
        <v>32</v>
      </c>
    </row>
    <row r="247" spans="2:6" ht="30">
      <c r="B247" s="52" t="s">
        <v>1680</v>
      </c>
      <c r="C247" s="52" t="s">
        <v>1681</v>
      </c>
      <c r="D247" s="394" t="s">
        <v>374</v>
      </c>
      <c r="E247" s="390">
        <v>96</v>
      </c>
      <c r="F247" s="52" t="s">
        <v>1540</v>
      </c>
    </row>
    <row r="248" spans="2:6">
      <c r="B248" s="52" t="s">
        <v>1894</v>
      </c>
      <c r="C248" s="52"/>
      <c r="D248" s="394" t="s">
        <v>454</v>
      </c>
      <c r="E248" s="49">
        <v>233</v>
      </c>
      <c r="F248" s="53" t="s">
        <v>1540</v>
      </c>
    </row>
    <row r="249" spans="2:6">
      <c r="B249" s="52" t="s">
        <v>1895</v>
      </c>
      <c r="C249" s="52"/>
      <c r="D249" s="51" t="s">
        <v>118</v>
      </c>
      <c r="E249" s="49">
        <v>23</v>
      </c>
      <c r="F249" s="52" t="s">
        <v>37</v>
      </c>
    </row>
    <row r="250" spans="2:6">
      <c r="B250" s="52" t="s">
        <v>1896</v>
      </c>
      <c r="C250" s="52"/>
      <c r="D250" s="51" t="s">
        <v>110</v>
      </c>
      <c r="E250" s="389">
        <v>179</v>
      </c>
      <c r="F250" s="52" t="s">
        <v>33</v>
      </c>
    </row>
    <row r="251" spans="2:6" s="396" customFormat="1">
      <c r="B251" s="52" t="s">
        <v>1898</v>
      </c>
      <c r="C251" s="52" t="s">
        <v>1897</v>
      </c>
      <c r="D251" s="394" t="s">
        <v>369</v>
      </c>
      <c r="E251" s="389">
        <v>89</v>
      </c>
      <c r="F251" s="505" t="s">
        <v>1540</v>
      </c>
    </row>
    <row r="252" spans="2:6" ht="30">
      <c r="B252" s="508" t="s">
        <v>1911</v>
      </c>
      <c r="C252" s="508" t="s">
        <v>1910</v>
      </c>
      <c r="D252" s="51" t="s">
        <v>189</v>
      </c>
      <c r="E252" s="389">
        <v>80</v>
      </c>
      <c r="F252" s="508" t="s">
        <v>190</v>
      </c>
    </row>
    <row r="253" spans="2:6">
      <c r="B253" s="52" t="s">
        <v>630</v>
      </c>
      <c r="C253" s="52"/>
      <c r="D253" s="394" t="s">
        <v>487</v>
      </c>
      <c r="E253" s="425" t="s">
        <v>489</v>
      </c>
      <c r="F253" s="52" t="s">
        <v>1540</v>
      </c>
    </row>
    <row r="254" spans="2:6">
      <c r="B254" s="52" t="s">
        <v>1899</v>
      </c>
      <c r="C254" s="52"/>
      <c r="D254" s="394" t="s">
        <v>488</v>
      </c>
      <c r="E254" s="425" t="s">
        <v>490</v>
      </c>
      <c r="F254" s="52" t="s">
        <v>1540</v>
      </c>
    </row>
    <row r="255" spans="2:6">
      <c r="B255" s="509" t="s">
        <v>1712</v>
      </c>
      <c r="C255" s="509" t="s">
        <v>1682</v>
      </c>
      <c r="D255" s="394" t="s">
        <v>434</v>
      </c>
      <c r="E255" s="390">
        <v>214</v>
      </c>
      <c r="F255" s="53" t="s">
        <v>1540</v>
      </c>
    </row>
    <row r="256" spans="2:6" ht="45">
      <c r="B256" s="52" t="s">
        <v>1893</v>
      </c>
      <c r="C256" s="52" t="s">
        <v>1940</v>
      </c>
      <c r="D256" s="51" t="s">
        <v>219</v>
      </c>
      <c r="E256" s="390">
        <v>13</v>
      </c>
      <c r="F256" s="52" t="s">
        <v>35</v>
      </c>
    </row>
    <row r="257" spans="2:11">
      <c r="B257" s="52" t="s">
        <v>491</v>
      </c>
      <c r="C257" s="52"/>
      <c r="D257" s="552" t="s">
        <v>633</v>
      </c>
      <c r="E257" s="425" t="s">
        <v>492</v>
      </c>
      <c r="F257" s="52" t="s">
        <v>1540</v>
      </c>
    </row>
    <row r="258" spans="2:11">
      <c r="B258" s="52" t="s">
        <v>1904</v>
      </c>
      <c r="C258" s="52"/>
      <c r="D258" s="51" t="s">
        <v>421</v>
      </c>
      <c r="E258" s="389">
        <v>180</v>
      </c>
      <c r="F258" s="52" t="s">
        <v>1540</v>
      </c>
    </row>
    <row r="259" spans="2:11">
      <c r="B259" s="508" t="s">
        <v>1905</v>
      </c>
      <c r="C259" s="508"/>
      <c r="D259" s="394" t="s">
        <v>422</v>
      </c>
      <c r="E259" s="49">
        <v>181</v>
      </c>
      <c r="F259" s="508" t="s">
        <v>1540</v>
      </c>
      <c r="J259" s="424"/>
    </row>
    <row r="260" spans="2:11">
      <c r="B260" s="52" t="s">
        <v>1688</v>
      </c>
      <c r="C260" s="52" t="s">
        <v>1639</v>
      </c>
      <c r="D260" s="551" t="s">
        <v>376</v>
      </c>
      <c r="E260" s="390">
        <v>98</v>
      </c>
      <c r="F260" s="52" t="s">
        <v>1540</v>
      </c>
      <c r="I260" s="501"/>
    </row>
    <row r="261" spans="2:11">
      <c r="B261" s="52" t="s">
        <v>1701</v>
      </c>
      <c r="C261" s="52" t="s">
        <v>1702</v>
      </c>
      <c r="D261" s="51" t="s">
        <v>80</v>
      </c>
      <c r="E261" s="49">
        <v>76</v>
      </c>
      <c r="F261" s="508" t="s">
        <v>30</v>
      </c>
    </row>
    <row r="262" spans="2:11">
      <c r="B262" s="509" t="s">
        <v>1906</v>
      </c>
      <c r="C262" s="509"/>
      <c r="D262" s="394" t="s">
        <v>430</v>
      </c>
      <c r="E262" s="389">
        <v>210</v>
      </c>
      <c r="F262" s="53" t="s">
        <v>1540</v>
      </c>
    </row>
    <row r="263" spans="2:11">
      <c r="B263" s="52" t="s">
        <v>1907</v>
      </c>
      <c r="C263" s="52"/>
      <c r="D263" s="394" t="s">
        <v>423</v>
      </c>
      <c r="E263" s="389">
        <v>182</v>
      </c>
      <c r="F263" s="52" t="s">
        <v>1540</v>
      </c>
    </row>
    <row r="264" spans="2:11">
      <c r="B264" s="508" t="s">
        <v>1908</v>
      </c>
      <c r="C264" s="508"/>
      <c r="D264" s="508" t="s">
        <v>167</v>
      </c>
      <c r="E264" s="49">
        <v>183</v>
      </c>
      <c r="F264" s="51" t="s">
        <v>39</v>
      </c>
    </row>
    <row r="265" spans="2:11">
      <c r="B265" s="52" t="s">
        <v>1726</v>
      </c>
      <c r="C265" s="52"/>
      <c r="D265" s="394" t="s">
        <v>446</v>
      </c>
      <c r="E265" s="390">
        <v>226</v>
      </c>
      <c r="F265" s="53" t="s">
        <v>1540</v>
      </c>
      <c r="H265" s="424"/>
      <c r="I265" s="424"/>
    </row>
    <row r="266" spans="2:11">
      <c r="B266" s="52" t="s">
        <v>1711</v>
      </c>
      <c r="C266" s="52"/>
      <c r="D266" s="394" t="s">
        <v>378</v>
      </c>
      <c r="E266" s="390">
        <v>100</v>
      </c>
      <c r="F266" s="508" t="s">
        <v>1540</v>
      </c>
    </row>
    <row r="267" spans="2:11">
      <c r="B267" s="52" t="s">
        <v>1909</v>
      </c>
      <c r="C267" s="52"/>
      <c r="D267" s="394" t="s">
        <v>444</v>
      </c>
      <c r="E267" s="49">
        <v>224</v>
      </c>
      <c r="F267" s="53" t="s">
        <v>1540</v>
      </c>
    </row>
    <row r="268" spans="2:11">
      <c r="B268" s="52" t="s">
        <v>522</v>
      </c>
      <c r="C268" s="52"/>
      <c r="D268" s="51" t="s">
        <v>83</v>
      </c>
      <c r="E268" s="49">
        <v>65</v>
      </c>
      <c r="F268" s="508" t="s">
        <v>84</v>
      </c>
      <c r="K268" s="424"/>
    </row>
    <row r="269" spans="2:11" ht="30">
      <c r="B269" s="52" t="s">
        <v>1882</v>
      </c>
      <c r="C269" s="52" t="s">
        <v>1879</v>
      </c>
      <c r="D269" s="394" t="s">
        <v>453</v>
      </c>
      <c r="E269" s="390">
        <v>232</v>
      </c>
      <c r="F269" s="53" t="s">
        <v>1540</v>
      </c>
    </row>
    <row r="270" spans="2:11" ht="45">
      <c r="B270" s="52" t="s">
        <v>1819</v>
      </c>
      <c r="C270" s="52" t="s">
        <v>1818</v>
      </c>
      <c r="D270" s="394" t="s">
        <v>451</v>
      </c>
      <c r="E270" s="49">
        <v>230</v>
      </c>
      <c r="F270" s="53" t="s">
        <v>1540</v>
      </c>
    </row>
    <row r="271" spans="2:11">
      <c r="B271" s="52" t="s">
        <v>1912</v>
      </c>
      <c r="C271" s="52"/>
      <c r="D271" s="508" t="s">
        <v>168</v>
      </c>
      <c r="E271" s="49">
        <v>184</v>
      </c>
      <c r="F271" s="51" t="s">
        <v>39</v>
      </c>
    </row>
    <row r="272" spans="2:11">
      <c r="B272" s="52" t="s">
        <v>1913</v>
      </c>
      <c r="C272" s="52"/>
      <c r="D272" s="394" t="s">
        <v>372</v>
      </c>
      <c r="E272" s="49">
        <v>94</v>
      </c>
      <c r="F272" s="508" t="s">
        <v>1540</v>
      </c>
    </row>
    <row r="273" spans="2:12">
      <c r="B273" s="52" t="s">
        <v>1914</v>
      </c>
      <c r="C273" s="52"/>
      <c r="D273" s="508" t="s">
        <v>209</v>
      </c>
      <c r="E273" s="49">
        <v>9</v>
      </c>
      <c r="F273" s="508" t="s">
        <v>42</v>
      </c>
      <c r="L273" s="424"/>
    </row>
    <row r="274" spans="2:12" ht="30">
      <c r="B274" s="52" t="s">
        <v>1779</v>
      </c>
      <c r="C274" s="52" t="s">
        <v>448</v>
      </c>
      <c r="D274" s="394" t="s">
        <v>447</v>
      </c>
      <c r="E274" s="49">
        <v>227</v>
      </c>
      <c r="F274" s="53" t="s">
        <v>1540</v>
      </c>
    </row>
    <row r="275" spans="2:12">
      <c r="B275" s="52" t="s">
        <v>1917</v>
      </c>
      <c r="C275" s="52"/>
      <c r="D275" s="394" t="s">
        <v>455</v>
      </c>
      <c r="E275" s="389">
        <v>234</v>
      </c>
      <c r="F275" s="53" t="s">
        <v>1540</v>
      </c>
    </row>
    <row r="276" spans="2:12">
      <c r="B276" s="52" t="s">
        <v>1736</v>
      </c>
      <c r="C276" s="52"/>
      <c r="D276" s="51" t="s">
        <v>213</v>
      </c>
      <c r="E276" s="389">
        <v>59</v>
      </c>
      <c r="F276" s="508" t="s">
        <v>42</v>
      </c>
    </row>
    <row r="277" spans="2:12">
      <c r="B277" s="508" t="s">
        <v>1918</v>
      </c>
      <c r="C277" s="508"/>
      <c r="D277" s="508" t="s">
        <v>169</v>
      </c>
      <c r="E277" s="389">
        <v>185</v>
      </c>
      <c r="F277" s="51" t="s">
        <v>39</v>
      </c>
    </row>
    <row r="278" spans="2:12">
      <c r="B278" s="508" t="s">
        <v>493</v>
      </c>
      <c r="C278" s="508"/>
      <c r="D278" s="508" t="s">
        <v>494</v>
      </c>
      <c r="E278" s="425" t="s">
        <v>495</v>
      </c>
      <c r="F278" s="51" t="s">
        <v>1540</v>
      </c>
    </row>
    <row r="279" spans="2:12" s="424" customFormat="1" ht="30">
      <c r="B279" s="508" t="s">
        <v>1744</v>
      </c>
      <c r="C279" s="508" t="s">
        <v>1745</v>
      </c>
      <c r="D279" s="508" t="s">
        <v>475</v>
      </c>
      <c r="E279" s="425" t="s">
        <v>467</v>
      </c>
      <c r="F279" s="52" t="s">
        <v>1540</v>
      </c>
      <c r="H279"/>
      <c r="I279"/>
      <c r="J279"/>
      <c r="K279"/>
      <c r="L279"/>
    </row>
    <row r="280" spans="2:12">
      <c r="B280" s="508" t="s">
        <v>1939</v>
      </c>
      <c r="C280" s="508" t="s">
        <v>1938</v>
      </c>
      <c r="D280" s="394" t="s">
        <v>445</v>
      </c>
      <c r="E280" s="390">
        <v>225</v>
      </c>
      <c r="F280" s="53" t="s">
        <v>1540</v>
      </c>
    </row>
    <row r="281" spans="2:12">
      <c r="B281" s="508" t="s">
        <v>1727</v>
      </c>
      <c r="C281" s="508" t="s">
        <v>1728</v>
      </c>
      <c r="D281" s="394" t="s">
        <v>1576</v>
      </c>
      <c r="E281" s="394" t="s">
        <v>1575</v>
      </c>
      <c r="F281" s="53" t="s">
        <v>1540</v>
      </c>
    </row>
    <row r="282" spans="2:12">
      <c r="B282" s="508" t="s">
        <v>1923</v>
      </c>
      <c r="C282" s="508"/>
      <c r="D282" s="51" t="s">
        <v>215</v>
      </c>
      <c r="E282" s="390">
        <v>61</v>
      </c>
      <c r="F282" s="508" t="s">
        <v>42</v>
      </c>
    </row>
    <row r="283" spans="2:12">
      <c r="B283" s="508" t="s">
        <v>1924</v>
      </c>
      <c r="C283" s="508"/>
      <c r="D283" s="394" t="s">
        <v>362</v>
      </c>
      <c r="E283" s="390" t="s">
        <v>355</v>
      </c>
      <c r="F283" s="508" t="s">
        <v>1540</v>
      </c>
    </row>
    <row r="284" spans="2:12">
      <c r="B284" s="508" t="s">
        <v>1920</v>
      </c>
      <c r="C284" s="508"/>
      <c r="D284" s="51" t="s">
        <v>496</v>
      </c>
      <c r="E284" s="394" t="s">
        <v>497</v>
      </c>
      <c r="F284" s="508" t="s">
        <v>1540</v>
      </c>
    </row>
    <row r="285" spans="2:12">
      <c r="B285" s="508" t="s">
        <v>1729</v>
      </c>
      <c r="C285" s="508"/>
      <c r="D285" s="508" t="s">
        <v>223</v>
      </c>
      <c r="E285" s="390">
        <v>72</v>
      </c>
      <c r="F285" s="508" t="s">
        <v>46</v>
      </c>
    </row>
    <row r="286" spans="2:12" ht="60">
      <c r="B286" s="508" t="s">
        <v>1709</v>
      </c>
      <c r="C286" s="550" t="s">
        <v>1708</v>
      </c>
      <c r="D286" s="508" t="s">
        <v>143</v>
      </c>
      <c r="E286" s="390">
        <v>188</v>
      </c>
      <c r="F286" s="508" t="s">
        <v>37</v>
      </c>
    </row>
    <row r="287" spans="2:12">
      <c r="B287" s="509" t="s">
        <v>1925</v>
      </c>
      <c r="C287" s="509"/>
      <c r="D287" s="394" t="s">
        <v>426</v>
      </c>
      <c r="E287" s="390">
        <v>206</v>
      </c>
      <c r="F287" s="53" t="s">
        <v>1540</v>
      </c>
    </row>
    <row r="288" spans="2:12">
      <c r="B288" s="508" t="s">
        <v>1784</v>
      </c>
      <c r="C288" s="508"/>
      <c r="D288" s="394" t="s">
        <v>418</v>
      </c>
      <c r="E288" s="389">
        <v>162</v>
      </c>
      <c r="F288" s="51" t="s">
        <v>1540</v>
      </c>
    </row>
    <row r="289" spans="2:6">
      <c r="B289" s="508" t="s">
        <v>1926</v>
      </c>
      <c r="C289" s="508"/>
      <c r="D289" s="508" t="s">
        <v>170</v>
      </c>
      <c r="E289" s="390">
        <v>186</v>
      </c>
      <c r="F289" s="51" t="s">
        <v>39</v>
      </c>
    </row>
    <row r="290" spans="2:6">
      <c r="B290" s="508" t="s">
        <v>1927</v>
      </c>
      <c r="C290" s="508"/>
      <c r="D290" s="508" t="s">
        <v>171</v>
      </c>
      <c r="E290" s="390">
        <v>187</v>
      </c>
      <c r="F290" s="51" t="s">
        <v>39</v>
      </c>
    </row>
    <row r="291" spans="2:6">
      <c r="B291" s="508" t="s">
        <v>1930</v>
      </c>
      <c r="C291" s="508"/>
      <c r="D291" s="394" t="s">
        <v>373</v>
      </c>
      <c r="E291" s="390">
        <v>95</v>
      </c>
      <c r="F291" s="508" t="s">
        <v>1540</v>
      </c>
    </row>
    <row r="292" spans="2:6">
      <c r="B292" s="508" t="s">
        <v>1931</v>
      </c>
      <c r="C292" s="508"/>
      <c r="D292" s="508" t="s">
        <v>210</v>
      </c>
      <c r="E292" s="390">
        <v>143</v>
      </c>
      <c r="F292" s="508" t="s">
        <v>42</v>
      </c>
    </row>
    <row r="293" spans="2:6">
      <c r="B293" s="508" t="s">
        <v>1932</v>
      </c>
      <c r="C293" s="508"/>
      <c r="D293" s="394" t="s">
        <v>409</v>
      </c>
      <c r="E293" s="390">
        <v>145</v>
      </c>
      <c r="F293" s="508" t="s">
        <v>1540</v>
      </c>
    </row>
    <row r="294" spans="2:6">
      <c r="B294" s="508" t="s">
        <v>1820</v>
      </c>
      <c r="C294" s="508"/>
      <c r="D294" s="508" t="s">
        <v>206</v>
      </c>
      <c r="E294" s="389">
        <v>6</v>
      </c>
      <c r="F294" s="508" t="s">
        <v>42</v>
      </c>
    </row>
    <row r="295" spans="2:6">
      <c r="B295" s="508" t="s">
        <v>1933</v>
      </c>
      <c r="C295" s="508"/>
      <c r="D295" s="508" t="s">
        <v>211</v>
      </c>
      <c r="E295" s="390">
        <v>10</v>
      </c>
      <c r="F295" s="508" t="s">
        <v>42</v>
      </c>
    </row>
    <row r="296" spans="2:6" ht="30">
      <c r="B296" s="509" t="s">
        <v>1935</v>
      </c>
      <c r="C296" s="509" t="s">
        <v>1934</v>
      </c>
      <c r="D296" s="394" t="s">
        <v>432</v>
      </c>
      <c r="E296" s="390">
        <v>212</v>
      </c>
      <c r="F296" s="53" t="s">
        <v>1540</v>
      </c>
    </row>
    <row r="297" spans="2:6">
      <c r="B297" s="508" t="s">
        <v>1936</v>
      </c>
      <c r="C297" s="508"/>
      <c r="D297" s="394" t="s">
        <v>456</v>
      </c>
      <c r="E297" s="390">
        <v>235</v>
      </c>
      <c r="F297" s="53" t="s">
        <v>1540</v>
      </c>
    </row>
    <row r="298" spans="2:6">
      <c r="B298" s="508" t="s">
        <v>1937</v>
      </c>
      <c r="C298" s="508"/>
      <c r="D298" s="508" t="s">
        <v>212</v>
      </c>
      <c r="E298" s="390">
        <v>11</v>
      </c>
      <c r="F298" s="508" t="s">
        <v>42</v>
      </c>
    </row>
    <row r="299" spans="2:6">
      <c r="B299" s="508" t="s">
        <v>1845</v>
      </c>
      <c r="C299" s="508" t="s">
        <v>1844</v>
      </c>
      <c r="D299" s="508" t="s">
        <v>141</v>
      </c>
      <c r="E299" s="389">
        <v>136</v>
      </c>
      <c r="F299" s="508" t="s">
        <v>37</v>
      </c>
    </row>
  </sheetData>
  <sortState ref="B14:F299">
    <sortCondition ref="B14:B299"/>
  </sortState>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sheetPr>
    <tabColor rgb="FF00B050"/>
  </sheetPr>
  <dimension ref="B2:J28"/>
  <sheetViews>
    <sheetView topLeftCell="A10" workbookViewId="0">
      <selection activeCell="D17" sqref="D17"/>
    </sheetView>
  </sheetViews>
  <sheetFormatPr baseColWidth="10" defaultRowHeight="15"/>
  <cols>
    <col min="2" max="2" width="8.5703125" style="3" customWidth="1"/>
    <col min="3" max="3" width="17.7109375" customWidth="1"/>
    <col min="4" max="4" width="25.7109375" customWidth="1"/>
    <col min="5" max="5" width="50.7109375" customWidth="1"/>
  </cols>
  <sheetData>
    <row r="2" spans="2:10">
      <c r="B2" t="s">
        <v>462</v>
      </c>
      <c r="C2" s="3"/>
    </row>
    <row r="3" spans="2:10" ht="15.75" thickBot="1">
      <c r="B3"/>
      <c r="C3" s="3"/>
    </row>
    <row r="4" spans="2:10">
      <c r="B4" s="64" t="s">
        <v>504</v>
      </c>
      <c r="C4" s="65"/>
      <c r="D4" s="66"/>
      <c r="E4" s="66"/>
      <c r="F4" s="66"/>
      <c r="G4" s="66"/>
      <c r="H4" s="66"/>
      <c r="I4" s="66"/>
      <c r="J4" s="67"/>
    </row>
    <row r="5" spans="2:10">
      <c r="B5" s="68" t="s">
        <v>1530</v>
      </c>
      <c r="C5" s="69"/>
      <c r="D5" s="70"/>
      <c r="E5" s="70"/>
      <c r="F5" s="70"/>
      <c r="G5" s="70"/>
      <c r="H5" s="70"/>
      <c r="I5" s="70"/>
      <c r="J5" s="71"/>
    </row>
    <row r="6" spans="2:10">
      <c r="B6" s="68"/>
      <c r="C6" s="69"/>
      <c r="D6" s="70"/>
      <c r="E6" s="70"/>
      <c r="F6" s="70"/>
      <c r="G6" s="70"/>
      <c r="H6" s="70"/>
      <c r="I6" s="70"/>
      <c r="J6" s="71"/>
    </row>
    <row r="7" spans="2:10" ht="15.75" thickBot="1">
      <c r="B7" s="75" t="s">
        <v>463</v>
      </c>
      <c r="C7" s="72"/>
      <c r="D7" s="73"/>
      <c r="E7" s="73"/>
      <c r="F7" s="73"/>
      <c r="G7" s="73"/>
      <c r="H7" s="73"/>
      <c r="I7" s="73"/>
      <c r="J7" s="74"/>
    </row>
    <row r="9" spans="2:10">
      <c r="B9" s="57" t="s">
        <v>0</v>
      </c>
      <c r="C9" s="562" t="s">
        <v>1</v>
      </c>
      <c r="D9" s="562"/>
      <c r="E9" s="82" t="s">
        <v>2</v>
      </c>
    </row>
    <row r="10" spans="2:10" ht="15" customHeight="1">
      <c r="B10" s="2" t="s">
        <v>28</v>
      </c>
      <c r="C10" s="557" t="s">
        <v>3</v>
      </c>
      <c r="D10" s="45" t="s">
        <v>4</v>
      </c>
      <c r="E10" s="559" t="s">
        <v>501</v>
      </c>
    </row>
    <row r="11" spans="2:10">
      <c r="B11" s="2" t="s">
        <v>29</v>
      </c>
      <c r="C11" s="558"/>
      <c r="D11" s="45" t="s">
        <v>5</v>
      </c>
      <c r="E11" s="560"/>
    </row>
    <row r="12" spans="2:10">
      <c r="B12" s="2" t="s">
        <v>30</v>
      </c>
      <c r="C12" s="558"/>
      <c r="D12" s="45" t="s">
        <v>6</v>
      </c>
      <c r="E12" s="560"/>
    </row>
    <row r="13" spans="2:10">
      <c r="B13" s="2" t="s">
        <v>31</v>
      </c>
      <c r="C13" s="558"/>
      <c r="D13" s="45" t="s">
        <v>7</v>
      </c>
      <c r="E13" s="561"/>
    </row>
    <row r="14" spans="2:10">
      <c r="B14" s="2" t="s">
        <v>32</v>
      </c>
      <c r="C14" s="557" t="s">
        <v>8</v>
      </c>
      <c r="D14" s="45" t="s">
        <v>9</v>
      </c>
      <c r="E14" s="62" t="s">
        <v>502</v>
      </c>
    </row>
    <row r="15" spans="2:10">
      <c r="B15" s="2" t="s">
        <v>33</v>
      </c>
      <c r="C15" s="558"/>
      <c r="D15" s="45" t="s">
        <v>11</v>
      </c>
      <c r="E15" s="62" t="s">
        <v>503</v>
      </c>
    </row>
    <row r="16" spans="2:10">
      <c r="B16" s="2" t="s">
        <v>34</v>
      </c>
      <c r="C16" s="4" t="s">
        <v>12</v>
      </c>
      <c r="D16" s="46"/>
      <c r="E16" s="7"/>
    </row>
    <row r="17" spans="2:5" ht="39" customHeight="1">
      <c r="B17" s="2" t="s">
        <v>35</v>
      </c>
      <c r="C17" s="557" t="s">
        <v>13</v>
      </c>
      <c r="D17" s="45" t="s">
        <v>14</v>
      </c>
      <c r="E17" s="63" t="s">
        <v>503</v>
      </c>
    </row>
    <row r="18" spans="2:5">
      <c r="B18" s="2" t="s">
        <v>36</v>
      </c>
      <c r="C18" s="558"/>
      <c r="D18" s="45" t="s">
        <v>15</v>
      </c>
      <c r="E18" s="7"/>
    </row>
    <row r="19" spans="2:5">
      <c r="B19" s="2" t="s">
        <v>37</v>
      </c>
      <c r="C19" s="557" t="s">
        <v>16</v>
      </c>
      <c r="D19" s="45" t="s">
        <v>17</v>
      </c>
      <c r="E19" s="7"/>
    </row>
    <row r="20" spans="2:5">
      <c r="B20" s="2" t="s">
        <v>38</v>
      </c>
      <c r="C20" s="558"/>
      <c r="D20" s="45" t="s">
        <v>18</v>
      </c>
      <c r="E20" s="7"/>
    </row>
    <row r="21" spans="2:5">
      <c r="B21" s="2" t="s">
        <v>39</v>
      </c>
      <c r="C21" s="558"/>
      <c r="D21" s="45" t="s">
        <v>19</v>
      </c>
      <c r="E21" s="7"/>
    </row>
    <row r="22" spans="2:5">
      <c r="B22" s="2" t="s">
        <v>40</v>
      </c>
      <c r="C22" s="558"/>
      <c r="D22" s="45" t="s">
        <v>20</v>
      </c>
      <c r="E22" s="7"/>
    </row>
    <row r="23" spans="2:5">
      <c r="B23" s="2" t="s">
        <v>41</v>
      </c>
      <c r="C23" s="4" t="s">
        <v>21</v>
      </c>
      <c r="D23" s="5"/>
      <c r="E23" s="7"/>
    </row>
    <row r="24" spans="2:5">
      <c r="B24" s="2" t="s">
        <v>42</v>
      </c>
      <c r="C24" s="4" t="s">
        <v>22</v>
      </c>
      <c r="D24" s="46"/>
      <c r="E24" s="7"/>
    </row>
    <row r="25" spans="2:5" ht="51.75">
      <c r="B25" s="2" t="s">
        <v>43</v>
      </c>
      <c r="C25" s="6" t="s">
        <v>23</v>
      </c>
      <c r="D25" s="46"/>
      <c r="E25" s="7"/>
    </row>
    <row r="26" spans="2:5" ht="60" customHeight="1">
      <c r="B26" s="2" t="s">
        <v>44</v>
      </c>
      <c r="C26" s="557" t="s">
        <v>24</v>
      </c>
      <c r="D26" s="45" t="s">
        <v>25</v>
      </c>
      <c r="E26" s="61" t="s">
        <v>1542</v>
      </c>
    </row>
    <row r="27" spans="2:5">
      <c r="B27" s="2" t="s">
        <v>45</v>
      </c>
      <c r="C27" s="558"/>
      <c r="D27" s="45" t="s">
        <v>26</v>
      </c>
      <c r="E27" s="7"/>
    </row>
    <row r="28" spans="2:5" ht="26.25">
      <c r="B28" s="2" t="s">
        <v>46</v>
      </c>
      <c r="C28" s="7" t="s">
        <v>27</v>
      </c>
      <c r="D28" s="45"/>
      <c r="E28" s="7"/>
    </row>
  </sheetData>
  <mergeCells count="7">
    <mergeCell ref="C19:C22"/>
    <mergeCell ref="C26:C27"/>
    <mergeCell ref="E10:E13"/>
    <mergeCell ref="C9:D9"/>
    <mergeCell ref="C10:C13"/>
    <mergeCell ref="C14:C15"/>
    <mergeCell ref="C17:C18"/>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sheetPr>
    <tabColor rgb="FF00B050"/>
  </sheetPr>
  <dimension ref="B2:J148"/>
  <sheetViews>
    <sheetView workbookViewId="0">
      <selection activeCell="C13" sqref="C13"/>
    </sheetView>
  </sheetViews>
  <sheetFormatPr baseColWidth="10" defaultRowHeight="15"/>
  <cols>
    <col min="2" max="2" width="27.42578125" customWidth="1"/>
    <col min="3" max="3" width="27.42578125" style="437" customWidth="1"/>
    <col min="4" max="4" width="14.42578125" customWidth="1"/>
    <col min="5" max="6" width="15.5703125" customWidth="1"/>
    <col min="7" max="7" width="51.5703125" customWidth="1"/>
    <col min="8" max="8" width="14.5703125" customWidth="1"/>
    <col min="9" max="9" width="13.85546875" customWidth="1"/>
    <col min="10" max="10" width="28.42578125" customWidth="1"/>
  </cols>
  <sheetData>
    <row r="2" spans="2:10" ht="15.75" customHeight="1">
      <c r="B2" s="564" t="s">
        <v>231</v>
      </c>
      <c r="C2" s="566" t="s">
        <v>47</v>
      </c>
      <c r="D2" s="565" t="s">
        <v>228</v>
      </c>
      <c r="E2" s="563" t="s">
        <v>232</v>
      </c>
      <c r="F2" s="563"/>
      <c r="G2" s="563"/>
      <c r="H2" s="563" t="s">
        <v>233</v>
      </c>
      <c r="I2" s="563"/>
      <c r="J2" s="563"/>
    </row>
    <row r="3" spans="2:10" ht="56.25" customHeight="1">
      <c r="B3" s="564"/>
      <c r="C3" s="567"/>
      <c r="D3" s="565"/>
      <c r="E3" s="79" t="s">
        <v>229</v>
      </c>
      <c r="F3" s="79" t="s">
        <v>230</v>
      </c>
      <c r="G3" s="79" t="s">
        <v>227</v>
      </c>
      <c r="H3" s="79" t="s">
        <v>229</v>
      </c>
      <c r="I3" s="79" t="s">
        <v>234</v>
      </c>
      <c r="J3" s="79" t="s">
        <v>227</v>
      </c>
    </row>
    <row r="4" spans="2:10" ht="30">
      <c r="B4" s="11" t="s">
        <v>1941</v>
      </c>
      <c r="C4" s="10" t="s">
        <v>70</v>
      </c>
      <c r="D4" s="14" t="s">
        <v>28</v>
      </c>
      <c r="E4" s="14" t="s">
        <v>49</v>
      </c>
      <c r="F4" s="11">
        <v>0.05</v>
      </c>
      <c r="G4" s="15"/>
      <c r="H4" s="9" t="s">
        <v>235</v>
      </c>
      <c r="I4" s="9" t="s">
        <v>235</v>
      </c>
      <c r="J4" s="9" t="s">
        <v>235</v>
      </c>
    </row>
    <row r="5" spans="2:10" ht="15.75">
      <c r="B5" s="10" t="s">
        <v>1619</v>
      </c>
      <c r="C5" s="10" t="s">
        <v>48</v>
      </c>
      <c r="D5" s="11" t="s">
        <v>29</v>
      </c>
      <c r="E5" s="11" t="s">
        <v>49</v>
      </c>
      <c r="F5" s="11">
        <v>0.2</v>
      </c>
      <c r="G5" s="12"/>
      <c r="H5" s="9" t="s">
        <v>235</v>
      </c>
      <c r="I5" s="9" t="s">
        <v>235</v>
      </c>
      <c r="J5" s="9" t="s">
        <v>235</v>
      </c>
    </row>
    <row r="6" spans="2:10">
      <c r="B6" s="10" t="s">
        <v>50</v>
      </c>
      <c r="C6" s="10" t="s">
        <v>51</v>
      </c>
      <c r="D6" s="11" t="s">
        <v>29</v>
      </c>
      <c r="E6" s="11" t="s">
        <v>49</v>
      </c>
      <c r="F6" s="11">
        <v>0.05</v>
      </c>
      <c r="G6" s="11"/>
      <c r="H6" s="9" t="s">
        <v>235</v>
      </c>
      <c r="I6" s="9" t="s">
        <v>235</v>
      </c>
      <c r="J6" s="9" t="s">
        <v>235</v>
      </c>
    </row>
    <row r="7" spans="2:10" ht="30">
      <c r="B7" s="11" t="s">
        <v>52</v>
      </c>
      <c r="C7" s="11" t="s">
        <v>53</v>
      </c>
      <c r="D7" s="11" t="s">
        <v>29</v>
      </c>
      <c r="E7" s="11" t="s">
        <v>49</v>
      </c>
      <c r="F7" s="11">
        <v>0.05</v>
      </c>
      <c r="G7" s="11"/>
      <c r="H7" s="9" t="s">
        <v>235</v>
      </c>
      <c r="I7" s="9" t="s">
        <v>235</v>
      </c>
      <c r="J7" s="9" t="s">
        <v>235</v>
      </c>
    </row>
    <row r="8" spans="2:10">
      <c r="B8" s="11" t="s">
        <v>54</v>
      </c>
      <c r="C8" s="11" t="s">
        <v>55</v>
      </c>
      <c r="D8" s="11" t="s">
        <v>29</v>
      </c>
      <c r="E8" s="11" t="s">
        <v>49</v>
      </c>
      <c r="F8" s="11">
        <v>0.2</v>
      </c>
      <c r="G8" s="11"/>
      <c r="H8" s="9" t="s">
        <v>235</v>
      </c>
      <c r="I8" s="9" t="s">
        <v>235</v>
      </c>
      <c r="J8" s="9" t="s">
        <v>235</v>
      </c>
    </row>
    <row r="9" spans="2:10" ht="15.75">
      <c r="B9" s="10" t="s">
        <v>1664</v>
      </c>
      <c r="C9" s="10" t="s">
        <v>59</v>
      </c>
      <c r="D9" s="11" t="s">
        <v>29</v>
      </c>
      <c r="E9" s="11" t="s">
        <v>49</v>
      </c>
      <c r="F9" s="11">
        <v>0.05</v>
      </c>
      <c r="G9" s="12"/>
      <c r="H9" s="9" t="s">
        <v>235</v>
      </c>
      <c r="I9" s="9" t="s">
        <v>235</v>
      </c>
      <c r="J9" s="9" t="s">
        <v>235</v>
      </c>
    </row>
    <row r="10" spans="2:10" ht="15.75">
      <c r="B10" s="11" t="s">
        <v>1753</v>
      </c>
      <c r="C10" s="11" t="s">
        <v>63</v>
      </c>
      <c r="D10" s="11" t="s">
        <v>29</v>
      </c>
      <c r="E10" s="11" t="s">
        <v>49</v>
      </c>
      <c r="F10" s="11">
        <v>0.05</v>
      </c>
      <c r="G10" s="12"/>
      <c r="H10" s="9" t="s">
        <v>235</v>
      </c>
      <c r="I10" s="9" t="s">
        <v>235</v>
      </c>
      <c r="J10" s="9" t="s">
        <v>235</v>
      </c>
    </row>
    <row r="11" spans="2:10" ht="15.75">
      <c r="B11" s="11" t="s">
        <v>1754</v>
      </c>
      <c r="C11" s="11" t="s">
        <v>64</v>
      </c>
      <c r="D11" s="11" t="s">
        <v>29</v>
      </c>
      <c r="E11" s="11" t="s">
        <v>49</v>
      </c>
      <c r="F11" s="11">
        <v>0.05</v>
      </c>
      <c r="G11" s="15"/>
      <c r="H11" s="9" t="s">
        <v>235</v>
      </c>
      <c r="I11" s="9" t="s">
        <v>235</v>
      </c>
      <c r="J11" s="9" t="s">
        <v>235</v>
      </c>
    </row>
    <row r="12" spans="2:10" ht="15.75">
      <c r="B12" s="11" t="s">
        <v>1755</v>
      </c>
      <c r="C12" s="11" t="s">
        <v>65</v>
      </c>
      <c r="D12" s="11" t="s">
        <v>29</v>
      </c>
      <c r="E12" s="11" t="s">
        <v>49</v>
      </c>
      <c r="F12" s="11">
        <v>0.05</v>
      </c>
      <c r="G12" s="15"/>
      <c r="H12" s="9" t="s">
        <v>235</v>
      </c>
      <c r="I12" s="9" t="s">
        <v>235</v>
      </c>
      <c r="J12" s="9" t="s">
        <v>235</v>
      </c>
    </row>
    <row r="13" spans="2:10">
      <c r="B13" s="11" t="s">
        <v>1756</v>
      </c>
      <c r="C13" s="11" t="s">
        <v>66</v>
      </c>
      <c r="D13" s="11" t="s">
        <v>29</v>
      </c>
      <c r="E13" s="11" t="s">
        <v>49</v>
      </c>
      <c r="F13" s="11">
        <v>0.2</v>
      </c>
      <c r="G13" s="11"/>
      <c r="H13" s="9" t="s">
        <v>235</v>
      </c>
      <c r="I13" s="9" t="s">
        <v>235</v>
      </c>
      <c r="J13" s="9" t="s">
        <v>235</v>
      </c>
    </row>
    <row r="14" spans="2:10">
      <c r="B14" s="11" t="s">
        <v>1765</v>
      </c>
      <c r="C14" s="10" t="s">
        <v>67</v>
      </c>
      <c r="D14" s="11" t="s">
        <v>29</v>
      </c>
      <c r="E14" s="11" t="s">
        <v>49</v>
      </c>
      <c r="F14" s="11">
        <v>0.05</v>
      </c>
      <c r="G14" s="11"/>
      <c r="H14" s="9" t="s">
        <v>235</v>
      </c>
      <c r="I14" s="9" t="s">
        <v>235</v>
      </c>
      <c r="J14" s="9" t="s">
        <v>235</v>
      </c>
    </row>
    <row r="15" spans="2:10" ht="15.75">
      <c r="B15" s="11" t="s">
        <v>1766</v>
      </c>
      <c r="C15" s="11" t="s">
        <v>68</v>
      </c>
      <c r="D15" s="14" t="s">
        <v>29</v>
      </c>
      <c r="E15" s="11" t="s">
        <v>49</v>
      </c>
      <c r="F15" s="11">
        <v>0.05</v>
      </c>
      <c r="G15" s="15"/>
      <c r="H15" s="9" t="s">
        <v>235</v>
      </c>
      <c r="I15" s="9" t="s">
        <v>235</v>
      </c>
      <c r="J15" s="9" t="s">
        <v>235</v>
      </c>
    </row>
    <row r="16" spans="2:10">
      <c r="B16" s="11" t="s">
        <v>1767</v>
      </c>
      <c r="C16" s="11" t="s">
        <v>69</v>
      </c>
      <c r="D16" s="11" t="s">
        <v>29</v>
      </c>
      <c r="E16" s="11" t="s">
        <v>49</v>
      </c>
      <c r="F16" s="11">
        <v>0.2</v>
      </c>
      <c r="G16" s="11"/>
      <c r="H16" s="9" t="s">
        <v>235</v>
      </c>
      <c r="I16" s="9" t="s">
        <v>235</v>
      </c>
      <c r="J16" s="9" t="s">
        <v>235</v>
      </c>
    </row>
    <row r="17" spans="2:10" ht="15.75">
      <c r="B17" s="11" t="s">
        <v>1789</v>
      </c>
      <c r="C17" s="11" t="s">
        <v>71</v>
      </c>
      <c r="D17" s="11" t="s">
        <v>29</v>
      </c>
      <c r="E17" s="11" t="s">
        <v>49</v>
      </c>
      <c r="F17" s="11">
        <v>0.05</v>
      </c>
      <c r="G17" s="15"/>
      <c r="H17" s="9" t="s">
        <v>235</v>
      </c>
      <c r="I17" s="9" t="s">
        <v>235</v>
      </c>
      <c r="J17" s="9" t="s">
        <v>235</v>
      </c>
    </row>
    <row r="18" spans="2:10">
      <c r="B18" s="11" t="s">
        <v>1632</v>
      </c>
      <c r="C18" s="11" t="s">
        <v>72</v>
      </c>
      <c r="D18" s="11" t="s">
        <v>29</v>
      </c>
      <c r="E18" s="11" t="s">
        <v>49</v>
      </c>
      <c r="F18" s="11">
        <v>0.05</v>
      </c>
      <c r="G18" s="11"/>
      <c r="H18" s="9" t="s">
        <v>235</v>
      </c>
      <c r="I18" s="9" t="s">
        <v>235</v>
      </c>
      <c r="J18" s="9" t="s">
        <v>235</v>
      </c>
    </row>
    <row r="19" spans="2:10">
      <c r="B19" s="11" t="s">
        <v>1636</v>
      </c>
      <c r="C19" s="10" t="s">
        <v>73</v>
      </c>
      <c r="D19" s="11" t="s">
        <v>29</v>
      </c>
      <c r="E19" s="11" t="s">
        <v>49</v>
      </c>
      <c r="F19" s="11">
        <v>0.05</v>
      </c>
      <c r="G19" s="11"/>
      <c r="H19" s="9" t="s">
        <v>235</v>
      </c>
      <c r="I19" s="9" t="s">
        <v>235</v>
      </c>
      <c r="J19" s="9" t="s">
        <v>235</v>
      </c>
    </row>
    <row r="20" spans="2:10">
      <c r="B20" s="11" t="s">
        <v>1637</v>
      </c>
      <c r="C20" s="11" t="s">
        <v>74</v>
      </c>
      <c r="D20" s="11" t="s">
        <v>29</v>
      </c>
      <c r="E20" s="11" t="s">
        <v>49</v>
      </c>
      <c r="F20" s="11">
        <v>0.05</v>
      </c>
      <c r="G20" s="11"/>
      <c r="H20" s="9" t="s">
        <v>235</v>
      </c>
      <c r="I20" s="9" t="s">
        <v>235</v>
      </c>
      <c r="J20" s="9" t="s">
        <v>235</v>
      </c>
    </row>
    <row r="21" spans="2:10" ht="15.75">
      <c r="B21" s="11" t="s">
        <v>1621</v>
      </c>
      <c r="C21" s="11" t="s">
        <v>75</v>
      </c>
      <c r="D21" s="11" t="s">
        <v>29</v>
      </c>
      <c r="E21" s="11" t="s">
        <v>49</v>
      </c>
      <c r="F21" s="11">
        <v>0.2</v>
      </c>
      <c r="G21" s="12"/>
      <c r="H21" s="9" t="s">
        <v>235</v>
      </c>
      <c r="I21" s="9" t="s">
        <v>235</v>
      </c>
      <c r="J21" s="9" t="s">
        <v>235</v>
      </c>
    </row>
    <row r="22" spans="2:10" ht="30">
      <c r="B22" s="502" t="s">
        <v>1816</v>
      </c>
      <c r="C22" s="503" t="s">
        <v>345</v>
      </c>
      <c r="D22" s="16" t="s">
        <v>29</v>
      </c>
      <c r="E22" s="16">
        <v>2</v>
      </c>
      <c r="F22" s="11" t="s">
        <v>1533</v>
      </c>
      <c r="G22" s="17"/>
      <c r="H22" s="9" t="s">
        <v>235</v>
      </c>
      <c r="I22" s="9" t="s">
        <v>235</v>
      </c>
      <c r="J22" s="9" t="s">
        <v>235</v>
      </c>
    </row>
    <row r="23" spans="2:10">
      <c r="B23" s="11" t="s">
        <v>1834</v>
      </c>
      <c r="C23" s="11" t="s">
        <v>78</v>
      </c>
      <c r="D23" s="11" t="s">
        <v>29</v>
      </c>
      <c r="E23" s="11" t="s">
        <v>79</v>
      </c>
      <c r="F23" s="11">
        <v>0.05</v>
      </c>
      <c r="G23" s="11"/>
      <c r="H23" s="9" t="s">
        <v>235</v>
      </c>
      <c r="I23" s="9" t="s">
        <v>235</v>
      </c>
      <c r="J23" s="9" t="s">
        <v>235</v>
      </c>
    </row>
    <row r="24" spans="2:10">
      <c r="B24" s="11" t="s">
        <v>1624</v>
      </c>
      <c r="C24" s="11" t="s">
        <v>86</v>
      </c>
      <c r="D24" s="11" t="s">
        <v>29</v>
      </c>
      <c r="E24" s="11" t="s">
        <v>49</v>
      </c>
      <c r="F24" s="11">
        <v>0.05</v>
      </c>
      <c r="G24" s="11"/>
      <c r="H24" s="9" t="s">
        <v>235</v>
      </c>
      <c r="I24" s="9" t="s">
        <v>235</v>
      </c>
      <c r="J24" s="9" t="s">
        <v>235</v>
      </c>
    </row>
    <row r="25" spans="2:10">
      <c r="B25" s="11" t="s">
        <v>1625</v>
      </c>
      <c r="C25" s="11" t="s">
        <v>87</v>
      </c>
      <c r="D25" s="11" t="s">
        <v>29</v>
      </c>
      <c r="E25" s="11" t="s">
        <v>79</v>
      </c>
      <c r="F25" s="11">
        <v>0.05</v>
      </c>
      <c r="G25" s="11"/>
      <c r="H25" s="9" t="s">
        <v>235</v>
      </c>
      <c r="I25" s="9" t="s">
        <v>235</v>
      </c>
      <c r="J25" s="9" t="s">
        <v>235</v>
      </c>
    </row>
    <row r="26" spans="2:10">
      <c r="B26" s="11" t="s">
        <v>1633</v>
      </c>
      <c r="C26" s="11" t="s">
        <v>88</v>
      </c>
      <c r="D26" s="11" t="s">
        <v>29</v>
      </c>
      <c r="E26" s="11" t="s">
        <v>79</v>
      </c>
      <c r="F26" s="11">
        <v>0.05</v>
      </c>
      <c r="G26" s="11"/>
      <c r="H26" s="9" t="s">
        <v>235</v>
      </c>
      <c r="I26" s="9" t="s">
        <v>235</v>
      </c>
      <c r="J26" s="9" t="s">
        <v>235</v>
      </c>
    </row>
    <row r="27" spans="2:10" ht="15.75">
      <c r="B27" s="11" t="s">
        <v>1685</v>
      </c>
      <c r="C27" s="11" t="s">
        <v>57</v>
      </c>
      <c r="D27" s="11" t="s">
        <v>30</v>
      </c>
      <c r="E27" s="11" t="s">
        <v>49</v>
      </c>
      <c r="F27" s="11">
        <v>0.2</v>
      </c>
      <c r="G27" s="12"/>
      <c r="H27" s="9" t="s">
        <v>235</v>
      </c>
      <c r="I27" s="9" t="s">
        <v>235</v>
      </c>
      <c r="J27" s="9" t="s">
        <v>235</v>
      </c>
    </row>
    <row r="28" spans="2:10" ht="15.75">
      <c r="B28" s="11" t="s">
        <v>1699</v>
      </c>
      <c r="C28" s="11" t="s">
        <v>58</v>
      </c>
      <c r="D28" s="11" t="s">
        <v>30</v>
      </c>
      <c r="E28" s="11" t="s">
        <v>49</v>
      </c>
      <c r="F28" s="11">
        <v>0.2</v>
      </c>
      <c r="G28" s="13"/>
      <c r="H28" s="9" t="s">
        <v>235</v>
      </c>
      <c r="I28" s="9" t="s">
        <v>235</v>
      </c>
      <c r="J28" s="9" t="s">
        <v>235</v>
      </c>
    </row>
    <row r="29" spans="2:10" ht="30">
      <c r="B29" s="11" t="s">
        <v>1716</v>
      </c>
      <c r="C29" s="11" t="s">
        <v>60</v>
      </c>
      <c r="D29" s="11" t="s">
        <v>30</v>
      </c>
      <c r="E29" s="14" t="s">
        <v>49</v>
      </c>
      <c r="F29" s="11" t="s">
        <v>1533</v>
      </c>
      <c r="G29" s="11"/>
      <c r="H29" s="9" t="s">
        <v>235</v>
      </c>
      <c r="I29" s="9" t="s">
        <v>235</v>
      </c>
      <c r="J29" s="9" t="s">
        <v>235</v>
      </c>
    </row>
    <row r="30" spans="2:10" ht="15.75">
      <c r="B30" s="11" t="s">
        <v>1715</v>
      </c>
      <c r="C30" s="11" t="s">
        <v>61</v>
      </c>
      <c r="D30" s="11" t="s">
        <v>30</v>
      </c>
      <c r="E30" s="11" t="s">
        <v>49</v>
      </c>
      <c r="F30" s="11">
        <v>0.2</v>
      </c>
      <c r="G30" s="12"/>
      <c r="H30" s="9" t="s">
        <v>235</v>
      </c>
      <c r="I30" s="9" t="s">
        <v>235</v>
      </c>
      <c r="J30" s="9" t="s">
        <v>235</v>
      </c>
    </row>
    <row r="31" spans="2:10" ht="15.75">
      <c r="B31" s="502" t="s">
        <v>1701</v>
      </c>
      <c r="C31" s="11" t="s">
        <v>80</v>
      </c>
      <c r="D31" s="11" t="s">
        <v>30</v>
      </c>
      <c r="E31" s="11" t="s">
        <v>49</v>
      </c>
      <c r="F31" s="11">
        <v>0.2</v>
      </c>
      <c r="G31" s="12"/>
      <c r="H31" s="9" t="s">
        <v>235</v>
      </c>
      <c r="I31" s="9" t="s">
        <v>235</v>
      </c>
      <c r="J31" s="9" t="s">
        <v>235</v>
      </c>
    </row>
    <row r="32" spans="2:10" ht="30">
      <c r="B32" s="11" t="s">
        <v>1858</v>
      </c>
      <c r="C32" s="11" t="s">
        <v>81</v>
      </c>
      <c r="D32" s="11" t="s">
        <v>30</v>
      </c>
      <c r="E32" s="14" t="s">
        <v>49</v>
      </c>
      <c r="F32" s="11" t="s">
        <v>1533</v>
      </c>
      <c r="G32" s="12"/>
      <c r="H32" s="9" t="s">
        <v>235</v>
      </c>
      <c r="I32" s="9" t="s">
        <v>235</v>
      </c>
      <c r="J32" s="9" t="s">
        <v>235</v>
      </c>
    </row>
    <row r="33" spans="2:10">
      <c r="B33" s="11" t="s">
        <v>1881</v>
      </c>
      <c r="C33" s="11" t="s">
        <v>82</v>
      </c>
      <c r="D33" s="11" t="s">
        <v>30</v>
      </c>
      <c r="E33" s="11" t="s">
        <v>49</v>
      </c>
      <c r="F33" s="11">
        <v>0.2</v>
      </c>
      <c r="G33" s="11"/>
      <c r="H33" s="9" t="s">
        <v>235</v>
      </c>
      <c r="I33" s="9" t="s">
        <v>235</v>
      </c>
      <c r="J33" s="9" t="s">
        <v>235</v>
      </c>
    </row>
    <row r="34" spans="2:10">
      <c r="B34" s="11" t="s">
        <v>1929</v>
      </c>
      <c r="C34" s="11" t="s">
        <v>85</v>
      </c>
      <c r="D34" s="11" t="s">
        <v>30</v>
      </c>
      <c r="E34" s="11" t="s">
        <v>49</v>
      </c>
      <c r="F34" s="11">
        <v>0.2</v>
      </c>
      <c r="G34" s="11"/>
      <c r="H34" s="9" t="s">
        <v>235</v>
      </c>
      <c r="I34" s="9" t="s">
        <v>235</v>
      </c>
      <c r="J34" s="9" t="s">
        <v>235</v>
      </c>
    </row>
    <row r="35" spans="2:10" ht="15.75">
      <c r="B35" s="11" t="s">
        <v>1829</v>
      </c>
      <c r="C35" s="11" t="s">
        <v>120</v>
      </c>
      <c r="D35" s="11" t="s">
        <v>30</v>
      </c>
      <c r="E35" s="11">
        <v>20</v>
      </c>
      <c r="F35" s="11">
        <v>0.46400000000000002</v>
      </c>
      <c r="G35" s="12"/>
      <c r="H35" s="9" t="s">
        <v>235</v>
      </c>
      <c r="I35" s="9" t="s">
        <v>235</v>
      </c>
      <c r="J35" s="9" t="s">
        <v>235</v>
      </c>
    </row>
    <row r="36" spans="2:10" ht="15.75">
      <c r="B36" s="11" t="s">
        <v>1713</v>
      </c>
      <c r="C36" s="11" t="s">
        <v>121</v>
      </c>
      <c r="D36" s="11" t="s">
        <v>30</v>
      </c>
      <c r="E36" s="11">
        <v>20</v>
      </c>
      <c r="F36" s="11">
        <v>2.2040000000000002</v>
      </c>
      <c r="G36" s="12"/>
      <c r="H36" s="9" t="s">
        <v>235</v>
      </c>
      <c r="I36" s="9" t="s">
        <v>235</v>
      </c>
      <c r="J36" s="9" t="s">
        <v>235</v>
      </c>
    </row>
    <row r="37" spans="2:10">
      <c r="B37" s="10" t="s">
        <v>1792</v>
      </c>
      <c r="C37" s="11" t="s">
        <v>76</v>
      </c>
      <c r="D37" s="11" t="s">
        <v>30</v>
      </c>
      <c r="E37" s="11" t="s">
        <v>49</v>
      </c>
      <c r="F37" s="11">
        <v>0.2</v>
      </c>
      <c r="G37" s="11"/>
      <c r="H37" s="9" t="s">
        <v>235</v>
      </c>
      <c r="I37" s="9" t="s">
        <v>235</v>
      </c>
      <c r="J37" s="9" t="s">
        <v>235</v>
      </c>
    </row>
    <row r="38" spans="2:10">
      <c r="B38" s="11" t="s">
        <v>1776</v>
      </c>
      <c r="C38" s="11" t="s">
        <v>89</v>
      </c>
      <c r="D38" s="11" t="s">
        <v>32</v>
      </c>
      <c r="E38" s="11">
        <v>3</v>
      </c>
      <c r="F38" s="11">
        <v>0.1</v>
      </c>
      <c r="G38" s="11"/>
      <c r="H38" s="9" t="s">
        <v>235</v>
      </c>
      <c r="I38" s="9" t="s">
        <v>235</v>
      </c>
      <c r="J38" s="9" t="s">
        <v>235</v>
      </c>
    </row>
    <row r="39" spans="2:10">
      <c r="B39" s="11" t="s">
        <v>1775</v>
      </c>
      <c r="C39" s="11" t="s">
        <v>90</v>
      </c>
      <c r="D39" s="11" t="s">
        <v>32</v>
      </c>
      <c r="E39" s="11">
        <v>3</v>
      </c>
      <c r="F39" s="11">
        <v>0.1</v>
      </c>
      <c r="G39" s="11"/>
      <c r="H39" s="9" t="s">
        <v>235</v>
      </c>
      <c r="I39" s="9" t="s">
        <v>235</v>
      </c>
      <c r="J39" s="9" t="s">
        <v>235</v>
      </c>
    </row>
    <row r="40" spans="2:10">
      <c r="B40" s="11" t="s">
        <v>1774</v>
      </c>
      <c r="C40" s="11" t="s">
        <v>91</v>
      </c>
      <c r="D40" s="11" t="s">
        <v>32</v>
      </c>
      <c r="E40" s="11">
        <v>3</v>
      </c>
      <c r="F40" s="11">
        <v>0.1</v>
      </c>
      <c r="G40" s="11"/>
      <c r="H40" s="9" t="s">
        <v>235</v>
      </c>
      <c r="I40" s="9" t="s">
        <v>235</v>
      </c>
      <c r="J40" s="9" t="s">
        <v>235</v>
      </c>
    </row>
    <row r="41" spans="2:10">
      <c r="B41" s="11" t="s">
        <v>1696</v>
      </c>
      <c r="C41" s="11" t="s">
        <v>92</v>
      </c>
      <c r="D41" s="11" t="s">
        <v>32</v>
      </c>
      <c r="E41" s="11">
        <v>3</v>
      </c>
      <c r="F41" s="11">
        <v>0.1</v>
      </c>
      <c r="G41" s="11"/>
      <c r="H41" s="9" t="s">
        <v>235</v>
      </c>
      <c r="I41" s="9" t="s">
        <v>235</v>
      </c>
      <c r="J41" s="9" t="s">
        <v>235</v>
      </c>
    </row>
    <row r="42" spans="2:10" ht="15.75">
      <c r="B42" s="11" t="s">
        <v>1697</v>
      </c>
      <c r="C42" s="11" t="s">
        <v>93</v>
      </c>
      <c r="D42" s="11" t="s">
        <v>32</v>
      </c>
      <c r="E42" s="11">
        <v>3</v>
      </c>
      <c r="F42" s="11">
        <v>0.1</v>
      </c>
      <c r="G42" s="12"/>
      <c r="H42" s="9" t="s">
        <v>235</v>
      </c>
      <c r="I42" s="9" t="s">
        <v>235</v>
      </c>
      <c r="J42" s="9" t="s">
        <v>235</v>
      </c>
    </row>
    <row r="43" spans="2:10">
      <c r="B43" s="11" t="s">
        <v>1698</v>
      </c>
      <c r="C43" s="11" t="s">
        <v>94</v>
      </c>
      <c r="D43" s="11" t="s">
        <v>32</v>
      </c>
      <c r="E43" s="11">
        <v>3</v>
      </c>
      <c r="F43" s="11">
        <v>0.1</v>
      </c>
      <c r="G43" s="19"/>
      <c r="H43" s="9" t="s">
        <v>235</v>
      </c>
      <c r="I43" s="9" t="s">
        <v>235</v>
      </c>
      <c r="J43" s="9" t="s">
        <v>235</v>
      </c>
    </row>
    <row r="44" spans="2:10">
      <c r="B44" s="11" t="s">
        <v>1668</v>
      </c>
      <c r="C44" s="11" t="s">
        <v>95</v>
      </c>
      <c r="D44" s="11" t="s">
        <v>32</v>
      </c>
      <c r="E44" s="11">
        <v>3</v>
      </c>
      <c r="F44" s="11">
        <v>0.1</v>
      </c>
      <c r="G44" s="19"/>
      <c r="H44" s="9" t="s">
        <v>235</v>
      </c>
      <c r="I44" s="9" t="s">
        <v>235</v>
      </c>
      <c r="J44" s="9" t="s">
        <v>235</v>
      </c>
    </row>
    <row r="45" spans="2:10">
      <c r="B45" s="11" t="s">
        <v>1663</v>
      </c>
      <c r="C45" s="11" t="s">
        <v>96</v>
      </c>
      <c r="D45" s="11" t="s">
        <v>33</v>
      </c>
      <c r="E45" s="11">
        <v>3</v>
      </c>
      <c r="F45" s="11">
        <v>0.1</v>
      </c>
      <c r="G45" s="11"/>
      <c r="H45" s="9" t="s">
        <v>235</v>
      </c>
      <c r="I45" s="9" t="s">
        <v>235</v>
      </c>
      <c r="J45" s="9" t="s">
        <v>235</v>
      </c>
    </row>
    <row r="46" spans="2:10" ht="15.75">
      <c r="B46" s="11" t="s">
        <v>1671</v>
      </c>
      <c r="C46" s="11" t="s">
        <v>97</v>
      </c>
      <c r="D46" s="11" t="s">
        <v>33</v>
      </c>
      <c r="E46" s="11">
        <v>3</v>
      </c>
      <c r="F46" s="11">
        <v>0.1</v>
      </c>
      <c r="G46" s="12"/>
      <c r="H46" s="9" t="s">
        <v>235</v>
      </c>
      <c r="I46" s="9" t="s">
        <v>235</v>
      </c>
      <c r="J46" s="9" t="s">
        <v>235</v>
      </c>
    </row>
    <row r="47" spans="2:10" ht="15.75">
      <c r="B47" s="11" t="s">
        <v>1675</v>
      </c>
      <c r="C47" s="11" t="s">
        <v>98</v>
      </c>
      <c r="D47" s="11" t="s">
        <v>33</v>
      </c>
      <c r="E47" s="11">
        <v>3</v>
      </c>
      <c r="F47" s="11">
        <v>0.1</v>
      </c>
      <c r="G47" s="12"/>
      <c r="H47" s="9" t="s">
        <v>235</v>
      </c>
      <c r="I47" s="9" t="s">
        <v>235</v>
      </c>
      <c r="J47" s="9" t="s">
        <v>235</v>
      </c>
    </row>
    <row r="48" spans="2:10" ht="60">
      <c r="B48" s="11" t="s">
        <v>1652</v>
      </c>
      <c r="C48" s="11" t="s">
        <v>99</v>
      </c>
      <c r="D48" s="11" t="s">
        <v>33</v>
      </c>
      <c r="E48" s="11">
        <v>3</v>
      </c>
      <c r="F48" s="11">
        <v>0.1</v>
      </c>
      <c r="G48" s="500" t="s">
        <v>1545</v>
      </c>
      <c r="H48" s="9" t="s">
        <v>235</v>
      </c>
      <c r="I48" s="9" t="s">
        <v>235</v>
      </c>
      <c r="J48" s="9" t="s">
        <v>235</v>
      </c>
    </row>
    <row r="49" spans="2:10">
      <c r="B49" s="11" t="s">
        <v>1658</v>
      </c>
      <c r="C49" s="11" t="s">
        <v>100</v>
      </c>
      <c r="D49" s="11" t="s">
        <v>33</v>
      </c>
      <c r="E49" s="11">
        <v>3</v>
      </c>
      <c r="F49" s="11">
        <v>0.1</v>
      </c>
      <c r="G49" s="500"/>
      <c r="H49" s="9" t="s">
        <v>235</v>
      </c>
      <c r="I49" s="9" t="s">
        <v>235</v>
      </c>
      <c r="J49" s="9" t="s">
        <v>235</v>
      </c>
    </row>
    <row r="50" spans="2:10">
      <c r="B50" s="11" t="s">
        <v>1667</v>
      </c>
      <c r="C50" s="11" t="s">
        <v>101</v>
      </c>
      <c r="D50" s="11" t="s">
        <v>33</v>
      </c>
      <c r="E50" s="11">
        <v>3</v>
      </c>
      <c r="F50" s="11">
        <v>0.1</v>
      </c>
      <c r="G50" s="11"/>
      <c r="H50" s="9" t="s">
        <v>235</v>
      </c>
      <c r="I50" s="9" t="s">
        <v>235</v>
      </c>
      <c r="J50" s="9" t="s">
        <v>235</v>
      </c>
    </row>
    <row r="51" spans="2:10">
      <c r="B51" s="11" t="s">
        <v>1669</v>
      </c>
      <c r="C51" s="11" t="s">
        <v>102</v>
      </c>
      <c r="D51" s="11" t="s">
        <v>33</v>
      </c>
      <c r="E51" s="11">
        <v>3</v>
      </c>
      <c r="F51" s="11">
        <v>0.1</v>
      </c>
      <c r="G51" s="11"/>
      <c r="H51" s="9" t="s">
        <v>235</v>
      </c>
      <c r="I51" s="9" t="s">
        <v>235</v>
      </c>
      <c r="J51" s="9" t="s">
        <v>235</v>
      </c>
    </row>
    <row r="52" spans="2:10">
      <c r="B52" s="11" t="s">
        <v>1643</v>
      </c>
      <c r="C52" s="11" t="s">
        <v>103</v>
      </c>
      <c r="D52" s="11" t="s">
        <v>33</v>
      </c>
      <c r="E52" s="11">
        <v>3</v>
      </c>
      <c r="F52" s="11">
        <v>0.1</v>
      </c>
      <c r="G52" s="11"/>
      <c r="H52" s="9" t="s">
        <v>235</v>
      </c>
      <c r="I52" s="9" t="s">
        <v>235</v>
      </c>
      <c r="J52" s="9" t="s">
        <v>235</v>
      </c>
    </row>
    <row r="53" spans="2:10">
      <c r="B53" s="11" t="s">
        <v>1644</v>
      </c>
      <c r="C53" s="11" t="s">
        <v>104</v>
      </c>
      <c r="D53" s="11" t="s">
        <v>33</v>
      </c>
      <c r="E53" s="11">
        <v>3</v>
      </c>
      <c r="F53" s="11">
        <v>0.1</v>
      </c>
      <c r="G53" s="11"/>
      <c r="H53" s="9" t="s">
        <v>235</v>
      </c>
      <c r="I53" s="9" t="s">
        <v>235</v>
      </c>
      <c r="J53" s="9" t="s">
        <v>235</v>
      </c>
    </row>
    <row r="54" spans="2:10">
      <c r="B54" s="11" t="s">
        <v>1648</v>
      </c>
      <c r="C54" s="11" t="s">
        <v>105</v>
      </c>
      <c r="D54" s="11" t="s">
        <v>33</v>
      </c>
      <c r="E54" s="11">
        <v>3</v>
      </c>
      <c r="F54" s="11">
        <v>0.1</v>
      </c>
      <c r="G54" s="11"/>
      <c r="H54" s="9" t="s">
        <v>235</v>
      </c>
      <c r="I54" s="9" t="s">
        <v>235</v>
      </c>
      <c r="J54" s="9" t="s">
        <v>235</v>
      </c>
    </row>
    <row r="55" spans="2:10">
      <c r="B55" s="11" t="s">
        <v>1649</v>
      </c>
      <c r="C55" s="11" t="s">
        <v>106</v>
      </c>
      <c r="D55" s="11" t="s">
        <v>33</v>
      </c>
      <c r="E55" s="11">
        <v>3</v>
      </c>
      <c r="F55" s="11">
        <v>0.1</v>
      </c>
      <c r="G55" s="19"/>
      <c r="H55" s="9" t="s">
        <v>235</v>
      </c>
      <c r="I55" s="9" t="s">
        <v>235</v>
      </c>
      <c r="J55" s="9" t="s">
        <v>235</v>
      </c>
    </row>
    <row r="56" spans="2:10">
      <c r="B56" s="11" t="s">
        <v>1666</v>
      </c>
      <c r="C56" s="11" t="s">
        <v>107</v>
      </c>
      <c r="D56" s="11" t="s">
        <v>33</v>
      </c>
      <c r="E56" s="11">
        <v>3</v>
      </c>
      <c r="F56" s="11">
        <v>0.1</v>
      </c>
      <c r="G56" s="11"/>
      <c r="H56" s="9" t="s">
        <v>235</v>
      </c>
      <c r="I56" s="9" t="s">
        <v>235</v>
      </c>
      <c r="J56" s="9" t="s">
        <v>235</v>
      </c>
    </row>
    <row r="57" spans="2:10">
      <c r="B57" s="11" t="s">
        <v>1640</v>
      </c>
      <c r="C57" s="11" t="s">
        <v>108</v>
      </c>
      <c r="D57" s="11" t="s">
        <v>33</v>
      </c>
      <c r="E57" s="11">
        <v>3</v>
      </c>
      <c r="F57" s="11">
        <v>0.1</v>
      </c>
      <c r="G57" s="11"/>
      <c r="H57" s="9" t="s">
        <v>235</v>
      </c>
      <c r="I57" s="9" t="s">
        <v>235</v>
      </c>
      <c r="J57" s="9" t="s">
        <v>235</v>
      </c>
    </row>
    <row r="58" spans="2:10">
      <c r="B58" s="11" t="s">
        <v>1641</v>
      </c>
      <c r="C58" s="11" t="s">
        <v>109</v>
      </c>
      <c r="D58" s="11" t="s">
        <v>33</v>
      </c>
      <c r="E58" s="11">
        <v>3</v>
      </c>
      <c r="F58" s="11">
        <v>0.1</v>
      </c>
      <c r="G58" s="11"/>
      <c r="H58" s="9" t="s">
        <v>235</v>
      </c>
      <c r="I58" s="9" t="s">
        <v>235</v>
      </c>
      <c r="J58" s="9" t="s">
        <v>235</v>
      </c>
    </row>
    <row r="59" spans="2:10">
      <c r="B59" s="11" t="s">
        <v>1896</v>
      </c>
      <c r="C59" s="11" t="s">
        <v>110</v>
      </c>
      <c r="D59" s="11" t="s">
        <v>33</v>
      </c>
      <c r="E59" s="11">
        <v>3</v>
      </c>
      <c r="F59" s="11">
        <v>0.1</v>
      </c>
      <c r="G59" s="19"/>
      <c r="H59" s="9" t="s">
        <v>235</v>
      </c>
      <c r="I59" s="9" t="s">
        <v>235</v>
      </c>
      <c r="J59" s="9" t="s">
        <v>235</v>
      </c>
    </row>
    <row r="60" spans="2:10" ht="15.75">
      <c r="B60" s="11" t="s">
        <v>1780</v>
      </c>
      <c r="C60" s="11" t="s">
        <v>112</v>
      </c>
      <c r="D60" s="14" t="s">
        <v>34</v>
      </c>
      <c r="E60" s="11">
        <v>4</v>
      </c>
      <c r="F60" s="11">
        <v>0.5</v>
      </c>
      <c r="G60" s="15"/>
      <c r="H60" s="9" t="s">
        <v>235</v>
      </c>
      <c r="I60" s="9" t="s">
        <v>235</v>
      </c>
      <c r="J60" s="9" t="s">
        <v>235</v>
      </c>
    </row>
    <row r="61" spans="2:10">
      <c r="B61" s="11" t="s">
        <v>1758</v>
      </c>
      <c r="C61" s="11" t="s">
        <v>113</v>
      </c>
      <c r="D61" s="11" t="s">
        <v>34</v>
      </c>
      <c r="E61" s="11">
        <v>4</v>
      </c>
      <c r="F61" s="11">
        <v>0.5</v>
      </c>
      <c r="G61" s="11"/>
      <c r="H61" s="9" t="s">
        <v>235</v>
      </c>
      <c r="I61" s="9" t="s">
        <v>235</v>
      </c>
      <c r="J61" s="9" t="s">
        <v>235</v>
      </c>
    </row>
    <row r="62" spans="2:10">
      <c r="B62" s="11" t="s">
        <v>1793</v>
      </c>
      <c r="C62" s="11" t="s">
        <v>114</v>
      </c>
      <c r="D62" s="11" t="s">
        <v>34</v>
      </c>
      <c r="E62" s="11">
        <v>4</v>
      </c>
      <c r="F62" s="11">
        <v>0.5</v>
      </c>
      <c r="G62" s="11"/>
      <c r="H62" s="9" t="s">
        <v>235</v>
      </c>
      <c r="I62" s="9" t="s">
        <v>235</v>
      </c>
      <c r="J62" s="9" t="s">
        <v>235</v>
      </c>
    </row>
    <row r="63" spans="2:10">
      <c r="B63" s="11" t="s">
        <v>1802</v>
      </c>
      <c r="C63" s="11" t="s">
        <v>115</v>
      </c>
      <c r="D63" s="11" t="s">
        <v>34</v>
      </c>
      <c r="E63" s="11">
        <v>4</v>
      </c>
      <c r="F63" s="11">
        <v>0.5</v>
      </c>
      <c r="G63" s="11"/>
      <c r="H63" s="9" t="s">
        <v>235</v>
      </c>
      <c r="I63" s="9" t="s">
        <v>235</v>
      </c>
      <c r="J63" s="9" t="s">
        <v>235</v>
      </c>
    </row>
    <row r="64" spans="2:10" ht="15.75">
      <c r="B64" s="11" t="s">
        <v>1891</v>
      </c>
      <c r="C64" s="11" t="s">
        <v>123</v>
      </c>
      <c r="D64" s="11" t="s">
        <v>35</v>
      </c>
      <c r="E64" s="11" t="s">
        <v>124</v>
      </c>
      <c r="F64" s="11">
        <v>5.0000000000000001E-3</v>
      </c>
      <c r="G64" s="12"/>
      <c r="H64" s="9" t="s">
        <v>235</v>
      </c>
      <c r="I64" s="9" t="s">
        <v>235</v>
      </c>
      <c r="J64" s="9" t="s">
        <v>235</v>
      </c>
    </row>
    <row r="65" spans="2:10" ht="30">
      <c r="B65" s="11" t="s">
        <v>1892</v>
      </c>
      <c r="C65" s="11" t="s">
        <v>126</v>
      </c>
      <c r="D65" s="11" t="s">
        <v>35</v>
      </c>
      <c r="E65" s="11" t="s">
        <v>124</v>
      </c>
      <c r="F65" s="11">
        <v>5.0000000000000001E-3</v>
      </c>
      <c r="G65" s="12"/>
      <c r="H65" s="9" t="s">
        <v>235</v>
      </c>
      <c r="I65" s="9" t="s">
        <v>235</v>
      </c>
      <c r="J65" s="9" t="s">
        <v>235</v>
      </c>
    </row>
    <row r="66" spans="2:10" ht="15.75">
      <c r="B66" s="11" t="s">
        <v>127</v>
      </c>
      <c r="C66" s="11" t="s">
        <v>128</v>
      </c>
      <c r="D66" s="11" t="s">
        <v>35</v>
      </c>
      <c r="E66" s="11" t="s">
        <v>124</v>
      </c>
      <c r="F66" s="11">
        <v>5.0000000000000001E-3</v>
      </c>
      <c r="G66" s="12"/>
      <c r="H66" s="9" t="s">
        <v>235</v>
      </c>
      <c r="I66" s="9" t="s">
        <v>235</v>
      </c>
      <c r="J66" s="9" t="s">
        <v>235</v>
      </c>
    </row>
    <row r="67" spans="2:10" ht="30">
      <c r="B67" s="11" t="s">
        <v>1887</v>
      </c>
      <c r="C67" s="11" t="s">
        <v>130</v>
      </c>
      <c r="D67" s="11" t="s">
        <v>35</v>
      </c>
      <c r="E67" s="11" t="s">
        <v>124</v>
      </c>
      <c r="F67" s="11">
        <v>5.0000000000000001E-3</v>
      </c>
      <c r="G67" s="12"/>
      <c r="H67" s="9" t="s">
        <v>235</v>
      </c>
      <c r="I67" s="9" t="s">
        <v>235</v>
      </c>
      <c r="J67" s="9" t="s">
        <v>235</v>
      </c>
    </row>
    <row r="68" spans="2:10" ht="30">
      <c r="B68" s="11" t="s">
        <v>1888</v>
      </c>
      <c r="C68" s="11" t="s">
        <v>132</v>
      </c>
      <c r="D68" s="11" t="s">
        <v>35</v>
      </c>
      <c r="E68" s="11" t="s">
        <v>124</v>
      </c>
      <c r="F68" s="11">
        <v>5.0000000000000001E-3</v>
      </c>
      <c r="G68" s="12"/>
      <c r="H68" s="9" t="s">
        <v>235</v>
      </c>
      <c r="I68" s="9" t="s">
        <v>235</v>
      </c>
      <c r="J68" s="9" t="s">
        <v>235</v>
      </c>
    </row>
    <row r="69" spans="2:10" ht="30">
      <c r="B69" s="11" t="s">
        <v>1889</v>
      </c>
      <c r="C69" s="11" t="s">
        <v>134</v>
      </c>
      <c r="D69" s="11" t="s">
        <v>35</v>
      </c>
      <c r="E69" s="11" t="s">
        <v>124</v>
      </c>
      <c r="F69" s="11">
        <v>5.0000000000000001E-3</v>
      </c>
      <c r="G69" s="12"/>
      <c r="H69" s="9" t="s">
        <v>235</v>
      </c>
      <c r="I69" s="9" t="s">
        <v>235</v>
      </c>
      <c r="J69" s="9" t="s">
        <v>235</v>
      </c>
    </row>
    <row r="70" spans="2:10" ht="30">
      <c r="B70" s="11" t="s">
        <v>1890</v>
      </c>
      <c r="C70" s="11" t="s">
        <v>136</v>
      </c>
      <c r="D70" s="11" t="s">
        <v>35</v>
      </c>
      <c r="E70" s="11" t="s">
        <v>124</v>
      </c>
      <c r="F70" s="11">
        <v>5.0000000000000001E-3</v>
      </c>
      <c r="G70" s="12"/>
      <c r="H70" s="9" t="s">
        <v>235</v>
      </c>
      <c r="I70" s="9" t="s">
        <v>235</v>
      </c>
      <c r="J70" s="9" t="s">
        <v>235</v>
      </c>
    </row>
    <row r="71" spans="2:10" ht="45">
      <c r="B71" s="11" t="s">
        <v>1689</v>
      </c>
      <c r="C71" s="11" t="s">
        <v>137</v>
      </c>
      <c r="D71" s="11" t="s">
        <v>138</v>
      </c>
      <c r="E71" s="11">
        <v>15</v>
      </c>
      <c r="F71" s="11">
        <v>9.9999999999999995E-7</v>
      </c>
      <c r="G71" s="12"/>
      <c r="H71" s="9" t="s">
        <v>235</v>
      </c>
      <c r="I71" s="9" t="s">
        <v>235</v>
      </c>
      <c r="J71" s="9" t="s">
        <v>235</v>
      </c>
    </row>
    <row r="72" spans="2:10" ht="30">
      <c r="B72" s="11" t="s">
        <v>1622</v>
      </c>
      <c r="C72" s="11" t="s">
        <v>116</v>
      </c>
      <c r="D72" s="11" t="s">
        <v>37</v>
      </c>
      <c r="E72" s="11">
        <v>11</v>
      </c>
      <c r="F72" s="11">
        <v>4.0000000000000001E-3</v>
      </c>
      <c r="G72" s="11"/>
      <c r="H72" s="9" t="s">
        <v>235</v>
      </c>
      <c r="I72" s="9" t="s">
        <v>235</v>
      </c>
      <c r="J72" s="9" t="s">
        <v>235</v>
      </c>
    </row>
    <row r="73" spans="2:10" ht="30">
      <c r="B73" s="11" t="s">
        <v>1627</v>
      </c>
      <c r="C73" s="11" t="s">
        <v>117</v>
      </c>
      <c r="D73" s="11" t="s">
        <v>37</v>
      </c>
      <c r="E73" s="11">
        <v>11</v>
      </c>
      <c r="F73" s="11">
        <v>4.0000000000000001E-3</v>
      </c>
      <c r="G73" s="10" t="s">
        <v>196</v>
      </c>
      <c r="H73" s="9" t="s">
        <v>235</v>
      </c>
      <c r="I73" s="9" t="s">
        <v>235</v>
      </c>
      <c r="J73" s="9" t="s">
        <v>235</v>
      </c>
    </row>
    <row r="74" spans="2:10">
      <c r="B74" s="11" t="s">
        <v>1895</v>
      </c>
      <c r="C74" s="11" t="s">
        <v>118</v>
      </c>
      <c r="D74" s="11" t="s">
        <v>37</v>
      </c>
      <c r="E74" s="11">
        <v>11</v>
      </c>
      <c r="F74" s="11">
        <v>4.0000000000000001E-3</v>
      </c>
      <c r="G74" s="11"/>
      <c r="H74" s="9" t="s">
        <v>235</v>
      </c>
      <c r="I74" s="9" t="s">
        <v>235</v>
      </c>
      <c r="J74" s="9" t="s">
        <v>235</v>
      </c>
    </row>
    <row r="75" spans="2:10">
      <c r="B75" s="11" t="s">
        <v>1833</v>
      </c>
      <c r="C75" s="11" t="s">
        <v>119</v>
      </c>
      <c r="D75" s="11" t="s">
        <v>37</v>
      </c>
      <c r="E75" s="11">
        <v>11</v>
      </c>
      <c r="F75" s="11">
        <v>4.0000000000000001E-3</v>
      </c>
      <c r="G75" s="11"/>
      <c r="H75" s="9" t="s">
        <v>235</v>
      </c>
      <c r="I75" s="9" t="s">
        <v>235</v>
      </c>
      <c r="J75" s="9" t="s">
        <v>235</v>
      </c>
    </row>
    <row r="76" spans="2:10" ht="30">
      <c r="B76" s="11" t="s">
        <v>542</v>
      </c>
      <c r="C76" s="11" t="s">
        <v>139</v>
      </c>
      <c r="D76" s="11" t="s">
        <v>37</v>
      </c>
      <c r="E76" s="11">
        <v>11</v>
      </c>
      <c r="F76" s="322" t="s">
        <v>1534</v>
      </c>
      <c r="G76" s="11" t="s">
        <v>197</v>
      </c>
      <c r="H76" s="9" t="s">
        <v>235</v>
      </c>
      <c r="I76" s="9" t="s">
        <v>235</v>
      </c>
      <c r="J76" s="9" t="s">
        <v>235</v>
      </c>
    </row>
    <row r="77" spans="2:10">
      <c r="B77" s="11" t="s">
        <v>1817</v>
      </c>
      <c r="C77" s="11" t="s">
        <v>140</v>
      </c>
      <c r="D77" s="11" t="s">
        <v>37</v>
      </c>
      <c r="E77" s="11">
        <v>11</v>
      </c>
      <c r="F77" s="11">
        <v>4.0000000000000001E-3</v>
      </c>
      <c r="G77" s="11"/>
      <c r="H77" s="9" t="s">
        <v>235</v>
      </c>
      <c r="I77" s="9" t="s">
        <v>235</v>
      </c>
      <c r="J77" s="9" t="s">
        <v>235</v>
      </c>
    </row>
    <row r="78" spans="2:10">
      <c r="B78" s="11" t="s">
        <v>1845</v>
      </c>
      <c r="C78" s="11" t="s">
        <v>141</v>
      </c>
      <c r="D78" s="11" t="s">
        <v>37</v>
      </c>
      <c r="E78" s="11">
        <v>11</v>
      </c>
      <c r="F78" s="11">
        <v>4.0000000000000001E-3</v>
      </c>
      <c r="G78" s="20"/>
      <c r="H78" s="9" t="s">
        <v>235</v>
      </c>
      <c r="I78" s="9" t="s">
        <v>235</v>
      </c>
      <c r="J78" s="9" t="s">
        <v>235</v>
      </c>
    </row>
    <row r="79" spans="2:10">
      <c r="B79" s="11" t="s">
        <v>543</v>
      </c>
      <c r="C79" s="11" t="s">
        <v>142</v>
      </c>
      <c r="D79" s="11" t="s">
        <v>37</v>
      </c>
      <c r="E79" s="11">
        <v>11</v>
      </c>
      <c r="F79" s="11">
        <v>4.0000000000000001E-3</v>
      </c>
      <c r="G79" s="20"/>
      <c r="H79" s="9" t="s">
        <v>235</v>
      </c>
      <c r="I79" s="9" t="s">
        <v>235</v>
      </c>
      <c r="J79" s="9" t="s">
        <v>235</v>
      </c>
    </row>
    <row r="80" spans="2:10">
      <c r="B80" s="11" t="s">
        <v>1709</v>
      </c>
      <c r="C80" s="11" t="s">
        <v>143</v>
      </c>
      <c r="D80" s="11" t="s">
        <v>37</v>
      </c>
      <c r="E80" s="14">
        <v>11</v>
      </c>
      <c r="F80" s="11">
        <v>4.0000000000000001E-3</v>
      </c>
      <c r="G80" s="21"/>
      <c r="H80" s="9" t="s">
        <v>235</v>
      </c>
      <c r="I80" s="9" t="s">
        <v>235</v>
      </c>
      <c r="J80" s="9" t="s">
        <v>235</v>
      </c>
    </row>
    <row r="81" spans="2:10" ht="30.75">
      <c r="B81" s="504" t="s">
        <v>1706</v>
      </c>
      <c r="C81" s="11" t="s">
        <v>145</v>
      </c>
      <c r="D81" s="11" t="s">
        <v>37</v>
      </c>
      <c r="E81" s="11">
        <v>11</v>
      </c>
      <c r="F81" s="11">
        <v>4.0000000000000001E-3</v>
      </c>
      <c r="G81" s="20"/>
      <c r="H81" s="9" t="s">
        <v>235</v>
      </c>
      <c r="I81" s="9" t="s">
        <v>235</v>
      </c>
      <c r="J81" s="9" t="s">
        <v>235</v>
      </c>
    </row>
    <row r="82" spans="2:10">
      <c r="B82" s="11" t="s">
        <v>1707</v>
      </c>
      <c r="C82" s="11" t="s">
        <v>146</v>
      </c>
      <c r="D82" s="11" t="s">
        <v>37</v>
      </c>
      <c r="E82" s="11">
        <v>11</v>
      </c>
      <c r="F82" s="11">
        <v>4.0000000000000001E-3</v>
      </c>
      <c r="G82" s="20"/>
      <c r="H82" s="9" t="s">
        <v>235</v>
      </c>
      <c r="I82" s="9" t="s">
        <v>235</v>
      </c>
      <c r="J82" s="9" t="s">
        <v>235</v>
      </c>
    </row>
    <row r="83" spans="2:10" ht="45.75">
      <c r="B83" s="504" t="s">
        <v>1743</v>
      </c>
      <c r="C83" s="11" t="s">
        <v>147</v>
      </c>
      <c r="D83" s="11" t="s">
        <v>37</v>
      </c>
      <c r="E83" s="11">
        <v>11</v>
      </c>
      <c r="F83" s="11">
        <v>4.0000000000000001E-3</v>
      </c>
      <c r="G83" s="22"/>
      <c r="H83" s="9" t="s">
        <v>235</v>
      </c>
      <c r="I83" s="9" t="s">
        <v>235</v>
      </c>
      <c r="J83" s="9" t="s">
        <v>235</v>
      </c>
    </row>
    <row r="84" spans="2:10" ht="30">
      <c r="B84" s="11" t="s">
        <v>1811</v>
      </c>
      <c r="C84" s="11" t="s">
        <v>148</v>
      </c>
      <c r="D84" s="11" t="s">
        <v>38</v>
      </c>
      <c r="E84" s="11">
        <v>12</v>
      </c>
      <c r="F84" s="11" t="s">
        <v>1533</v>
      </c>
      <c r="G84" s="20"/>
      <c r="H84" s="9" t="s">
        <v>235</v>
      </c>
      <c r="I84" s="9" t="s">
        <v>235</v>
      </c>
      <c r="J84" s="9" t="s">
        <v>235</v>
      </c>
    </row>
    <row r="85" spans="2:10" ht="30">
      <c r="B85" s="11" t="s">
        <v>1787</v>
      </c>
      <c r="C85" s="11" t="s">
        <v>149</v>
      </c>
      <c r="D85" s="14" t="s">
        <v>38</v>
      </c>
      <c r="E85" s="14">
        <v>12</v>
      </c>
      <c r="F85" s="11" t="s">
        <v>1533</v>
      </c>
      <c r="G85" s="23"/>
      <c r="H85" s="9" t="s">
        <v>235</v>
      </c>
      <c r="I85" s="9" t="s">
        <v>235</v>
      </c>
      <c r="J85" s="9" t="s">
        <v>235</v>
      </c>
    </row>
    <row r="86" spans="2:10">
      <c r="B86" s="11" t="s">
        <v>1737</v>
      </c>
      <c r="C86" s="11" t="s">
        <v>150</v>
      </c>
      <c r="D86" s="10" t="s">
        <v>39</v>
      </c>
      <c r="E86" s="11">
        <v>13</v>
      </c>
      <c r="F86" s="11">
        <v>0.01</v>
      </c>
      <c r="G86" s="20"/>
      <c r="H86" s="9" t="s">
        <v>235</v>
      </c>
      <c r="I86" s="9" t="s">
        <v>235</v>
      </c>
      <c r="J86" s="9" t="s">
        <v>235</v>
      </c>
    </row>
    <row r="87" spans="2:10">
      <c r="B87" s="11" t="s">
        <v>1751</v>
      </c>
      <c r="C87" s="11" t="s">
        <v>151</v>
      </c>
      <c r="D87" s="10" t="s">
        <v>39</v>
      </c>
      <c r="E87" s="11">
        <v>13</v>
      </c>
      <c r="F87" s="11">
        <v>0.01</v>
      </c>
      <c r="G87" s="20"/>
      <c r="H87" s="9" t="s">
        <v>235</v>
      </c>
      <c r="I87" s="9" t="s">
        <v>235</v>
      </c>
      <c r="J87" s="9" t="s">
        <v>235</v>
      </c>
    </row>
    <row r="88" spans="2:10">
      <c r="B88" s="11" t="s">
        <v>1761</v>
      </c>
      <c r="C88" s="11" t="s">
        <v>152</v>
      </c>
      <c r="D88" s="10" t="s">
        <v>39</v>
      </c>
      <c r="E88" s="11">
        <v>13</v>
      </c>
      <c r="F88" s="11">
        <v>0.01</v>
      </c>
      <c r="G88" s="20"/>
      <c r="H88" s="9" t="s">
        <v>235</v>
      </c>
      <c r="I88" s="9" t="s">
        <v>235</v>
      </c>
      <c r="J88" s="9" t="s">
        <v>235</v>
      </c>
    </row>
    <row r="89" spans="2:10">
      <c r="B89" s="11" t="s">
        <v>1763</v>
      </c>
      <c r="C89" s="11" t="s">
        <v>153</v>
      </c>
      <c r="D89" s="10" t="s">
        <v>39</v>
      </c>
      <c r="E89" s="11">
        <v>13</v>
      </c>
      <c r="F89" s="11">
        <v>0.01</v>
      </c>
      <c r="G89" s="20"/>
      <c r="H89" s="9" t="s">
        <v>235</v>
      </c>
      <c r="I89" s="9" t="s">
        <v>235</v>
      </c>
      <c r="J89" s="9" t="s">
        <v>235</v>
      </c>
    </row>
    <row r="90" spans="2:10">
      <c r="B90" s="11" t="s">
        <v>1778</v>
      </c>
      <c r="C90" s="11" t="s">
        <v>154</v>
      </c>
      <c r="D90" s="10" t="s">
        <v>39</v>
      </c>
      <c r="E90" s="11">
        <v>13</v>
      </c>
      <c r="F90" s="11">
        <v>0.01</v>
      </c>
      <c r="G90" s="20"/>
      <c r="H90" s="9" t="s">
        <v>235</v>
      </c>
      <c r="I90" s="9" t="s">
        <v>235</v>
      </c>
      <c r="J90" s="9" t="s">
        <v>235</v>
      </c>
    </row>
    <row r="91" spans="2:10">
      <c r="B91" s="11" t="s">
        <v>1290</v>
      </c>
      <c r="C91" s="11" t="s">
        <v>155</v>
      </c>
      <c r="D91" s="10" t="s">
        <v>39</v>
      </c>
      <c r="E91" s="11">
        <v>13</v>
      </c>
      <c r="F91" s="11">
        <v>0.01</v>
      </c>
      <c r="G91" s="20"/>
      <c r="H91" s="9" t="s">
        <v>235</v>
      </c>
      <c r="I91" s="9" t="s">
        <v>235</v>
      </c>
      <c r="J91" s="9" t="s">
        <v>235</v>
      </c>
    </row>
    <row r="92" spans="2:10">
      <c r="B92" s="11" t="s">
        <v>1813</v>
      </c>
      <c r="C92" s="11" t="s">
        <v>156</v>
      </c>
      <c r="D92" s="10" t="s">
        <v>39</v>
      </c>
      <c r="E92" s="11">
        <v>13</v>
      </c>
      <c r="F92" s="11">
        <v>0.01</v>
      </c>
      <c r="G92" s="20"/>
      <c r="H92" s="9" t="s">
        <v>235</v>
      </c>
      <c r="I92" s="9" t="s">
        <v>235</v>
      </c>
      <c r="J92" s="9" t="s">
        <v>235</v>
      </c>
    </row>
    <row r="93" spans="2:10">
      <c r="B93" s="11" t="s">
        <v>1823</v>
      </c>
      <c r="C93" s="11" t="s">
        <v>157</v>
      </c>
      <c r="D93" s="10" t="s">
        <v>39</v>
      </c>
      <c r="E93" s="11">
        <v>13</v>
      </c>
      <c r="F93" s="11">
        <v>0.01</v>
      </c>
      <c r="G93" s="20"/>
      <c r="H93" s="9" t="s">
        <v>235</v>
      </c>
      <c r="I93" s="9" t="s">
        <v>235</v>
      </c>
      <c r="J93" s="9" t="s">
        <v>235</v>
      </c>
    </row>
    <row r="94" spans="2:10" ht="60">
      <c r="B94" s="11" t="s">
        <v>1837</v>
      </c>
      <c r="C94" s="11" t="s">
        <v>158</v>
      </c>
      <c r="D94" s="10" t="s">
        <v>39</v>
      </c>
      <c r="E94" s="11">
        <v>13</v>
      </c>
      <c r="F94" s="11">
        <v>0.01</v>
      </c>
      <c r="G94" s="20"/>
      <c r="H94" s="9" t="s">
        <v>235</v>
      </c>
      <c r="I94" s="9" t="s">
        <v>235</v>
      </c>
      <c r="J94" s="9" t="s">
        <v>235</v>
      </c>
    </row>
    <row r="95" spans="2:10" ht="30">
      <c r="B95" s="11" t="s">
        <v>1843</v>
      </c>
      <c r="C95" s="11" t="s">
        <v>159</v>
      </c>
      <c r="D95" s="10" t="s">
        <v>39</v>
      </c>
      <c r="E95" s="11">
        <v>13</v>
      </c>
      <c r="F95" s="11">
        <v>0.01</v>
      </c>
      <c r="G95" s="20"/>
      <c r="H95" s="9" t="s">
        <v>235</v>
      </c>
      <c r="I95" s="9" t="s">
        <v>235</v>
      </c>
      <c r="J95" s="9" t="s">
        <v>235</v>
      </c>
    </row>
    <row r="96" spans="2:10">
      <c r="B96" s="11" t="s">
        <v>1846</v>
      </c>
      <c r="C96" s="11" t="s">
        <v>160</v>
      </c>
      <c r="D96" s="10" t="s">
        <v>39</v>
      </c>
      <c r="E96" s="11">
        <v>13</v>
      </c>
      <c r="F96" s="11">
        <v>0.01</v>
      </c>
      <c r="G96" s="20"/>
      <c r="H96" s="9" t="s">
        <v>235</v>
      </c>
      <c r="I96" s="9" t="s">
        <v>235</v>
      </c>
      <c r="J96" s="9" t="s">
        <v>235</v>
      </c>
    </row>
    <row r="97" spans="2:10" ht="30">
      <c r="B97" s="11" t="s">
        <v>1854</v>
      </c>
      <c r="C97" s="11" t="s">
        <v>161</v>
      </c>
      <c r="D97" s="10" t="s">
        <v>39</v>
      </c>
      <c r="E97" s="11">
        <v>13</v>
      </c>
      <c r="F97" s="11">
        <v>0.01</v>
      </c>
      <c r="G97" s="22"/>
      <c r="H97" s="9" t="s">
        <v>235</v>
      </c>
      <c r="I97" s="9" t="s">
        <v>235</v>
      </c>
      <c r="J97" s="9" t="s">
        <v>235</v>
      </c>
    </row>
    <row r="98" spans="2:10" ht="60">
      <c r="B98" s="11" t="s">
        <v>1856</v>
      </c>
      <c r="C98" s="11" t="s">
        <v>162</v>
      </c>
      <c r="D98" s="10" t="s">
        <v>39</v>
      </c>
      <c r="E98" s="11">
        <v>13</v>
      </c>
      <c r="F98" s="11">
        <v>0.01</v>
      </c>
      <c r="G98" s="22"/>
      <c r="H98" s="9" t="s">
        <v>235</v>
      </c>
      <c r="I98" s="9" t="s">
        <v>235</v>
      </c>
      <c r="J98" s="9" t="s">
        <v>235</v>
      </c>
    </row>
    <row r="99" spans="2:10" ht="15.75">
      <c r="B99" s="11" t="s">
        <v>1857</v>
      </c>
      <c r="C99" s="11" t="s">
        <v>163</v>
      </c>
      <c r="D99" s="10" t="s">
        <v>39</v>
      </c>
      <c r="E99" s="24">
        <v>13</v>
      </c>
      <c r="F99" s="11">
        <v>0.01</v>
      </c>
      <c r="G99" s="25"/>
      <c r="H99" s="9" t="s">
        <v>235</v>
      </c>
      <c r="I99" s="9" t="s">
        <v>235</v>
      </c>
      <c r="J99" s="9" t="s">
        <v>235</v>
      </c>
    </row>
    <row r="100" spans="2:10" ht="15.75">
      <c r="B100" s="11" t="s">
        <v>1860</v>
      </c>
      <c r="C100" s="11" t="s">
        <v>164</v>
      </c>
      <c r="D100" s="10" t="s">
        <v>39</v>
      </c>
      <c r="E100" s="11">
        <v>13</v>
      </c>
      <c r="F100" s="11">
        <v>0.01</v>
      </c>
      <c r="G100" s="22"/>
      <c r="H100" s="9" t="s">
        <v>235</v>
      </c>
      <c r="I100" s="9" t="s">
        <v>235</v>
      </c>
      <c r="J100" s="9" t="s">
        <v>235</v>
      </c>
    </row>
    <row r="101" spans="2:10" ht="45">
      <c r="B101" s="11" t="s">
        <v>1862</v>
      </c>
      <c r="C101" s="11" t="s">
        <v>165</v>
      </c>
      <c r="D101" s="10" t="s">
        <v>39</v>
      </c>
      <c r="E101" s="11">
        <v>13</v>
      </c>
      <c r="F101" s="11">
        <v>0.01</v>
      </c>
      <c r="G101" s="22"/>
      <c r="H101" s="9" t="s">
        <v>235</v>
      </c>
      <c r="I101" s="9" t="s">
        <v>235</v>
      </c>
      <c r="J101" s="9" t="s">
        <v>235</v>
      </c>
    </row>
    <row r="102" spans="2:10" ht="15.75">
      <c r="B102" s="11" t="s">
        <v>1866</v>
      </c>
      <c r="C102" s="11" t="s">
        <v>166</v>
      </c>
      <c r="D102" s="10" t="s">
        <v>39</v>
      </c>
      <c r="E102" s="11">
        <v>13</v>
      </c>
      <c r="F102" s="11">
        <v>0.01</v>
      </c>
      <c r="G102" s="22"/>
      <c r="H102" s="9" t="s">
        <v>235</v>
      </c>
      <c r="I102" s="9" t="s">
        <v>235</v>
      </c>
      <c r="J102" s="9" t="s">
        <v>235</v>
      </c>
    </row>
    <row r="103" spans="2:10" ht="15.75">
      <c r="B103" s="11" t="s">
        <v>1908</v>
      </c>
      <c r="C103" s="11" t="s">
        <v>167</v>
      </c>
      <c r="D103" s="10" t="s">
        <v>39</v>
      </c>
      <c r="E103" s="11">
        <v>13</v>
      </c>
      <c r="F103" s="11">
        <v>0.01</v>
      </c>
      <c r="G103" s="22"/>
      <c r="H103" s="9" t="s">
        <v>235</v>
      </c>
      <c r="I103" s="9" t="s">
        <v>235</v>
      </c>
      <c r="J103" s="9" t="s">
        <v>235</v>
      </c>
    </row>
    <row r="104" spans="2:10" ht="15.75">
      <c r="B104" s="11" t="s">
        <v>1912</v>
      </c>
      <c r="C104" s="11" t="s">
        <v>168</v>
      </c>
      <c r="D104" s="10" t="s">
        <v>39</v>
      </c>
      <c r="E104" s="11">
        <v>13</v>
      </c>
      <c r="F104" s="11">
        <v>0.01</v>
      </c>
      <c r="G104" s="22"/>
      <c r="H104" s="9" t="s">
        <v>235</v>
      </c>
      <c r="I104" s="9" t="s">
        <v>235</v>
      </c>
      <c r="J104" s="9" t="s">
        <v>235</v>
      </c>
    </row>
    <row r="105" spans="2:10">
      <c r="B105" s="11" t="s">
        <v>1918</v>
      </c>
      <c r="C105" s="11" t="s">
        <v>169</v>
      </c>
      <c r="D105" s="10" t="s">
        <v>39</v>
      </c>
      <c r="E105" s="11">
        <v>13</v>
      </c>
      <c r="F105" s="11">
        <v>0.01</v>
      </c>
      <c r="G105" s="20"/>
      <c r="H105" s="9" t="s">
        <v>235</v>
      </c>
      <c r="I105" s="9" t="s">
        <v>235</v>
      </c>
      <c r="J105" s="9" t="s">
        <v>235</v>
      </c>
    </row>
    <row r="106" spans="2:10">
      <c r="B106" s="11" t="s">
        <v>1926</v>
      </c>
      <c r="C106" s="11" t="s">
        <v>170</v>
      </c>
      <c r="D106" s="10" t="s">
        <v>39</v>
      </c>
      <c r="E106" s="11">
        <v>13</v>
      </c>
      <c r="F106" s="11">
        <v>0.01</v>
      </c>
      <c r="G106" s="20"/>
      <c r="H106" s="9" t="s">
        <v>235</v>
      </c>
      <c r="I106" s="9" t="s">
        <v>235</v>
      </c>
      <c r="J106" s="9" t="s">
        <v>235</v>
      </c>
    </row>
    <row r="107" spans="2:10">
      <c r="B107" s="11" t="s">
        <v>1927</v>
      </c>
      <c r="C107" s="11" t="s">
        <v>171</v>
      </c>
      <c r="D107" s="10" t="s">
        <v>39</v>
      </c>
      <c r="E107" s="11">
        <v>13</v>
      </c>
      <c r="F107" s="11">
        <v>0.01</v>
      </c>
      <c r="G107" s="20"/>
      <c r="H107" s="9" t="s">
        <v>235</v>
      </c>
      <c r="I107" s="9" t="s">
        <v>235</v>
      </c>
      <c r="J107" s="9" t="s">
        <v>235</v>
      </c>
    </row>
    <row r="108" spans="2:10" ht="30">
      <c r="B108" s="11" t="s">
        <v>1769</v>
      </c>
      <c r="C108" s="11" t="s">
        <v>172</v>
      </c>
      <c r="D108" s="11" t="s">
        <v>39</v>
      </c>
      <c r="E108" s="11">
        <v>13</v>
      </c>
      <c r="F108" s="11" t="s">
        <v>1533</v>
      </c>
      <c r="G108" s="20"/>
      <c r="H108" s="9" t="s">
        <v>235</v>
      </c>
      <c r="I108" s="9" t="s">
        <v>235</v>
      </c>
      <c r="J108" s="9" t="s">
        <v>235</v>
      </c>
    </row>
    <row r="109" spans="2:10">
      <c r="B109" s="11" t="s">
        <v>173</v>
      </c>
      <c r="C109" s="11" t="s">
        <v>174</v>
      </c>
      <c r="D109" s="10" t="s">
        <v>39</v>
      </c>
      <c r="E109" s="10" t="s">
        <v>175</v>
      </c>
      <c r="F109" s="11">
        <v>0.01</v>
      </c>
      <c r="G109" s="18"/>
      <c r="H109" s="9" t="s">
        <v>235</v>
      </c>
      <c r="I109" s="9" t="s">
        <v>235</v>
      </c>
      <c r="J109" s="9" t="s">
        <v>235</v>
      </c>
    </row>
    <row r="110" spans="2:10" ht="30">
      <c r="B110" s="11" t="s">
        <v>1694</v>
      </c>
      <c r="C110" s="11" t="s">
        <v>176</v>
      </c>
      <c r="D110" s="14" t="s">
        <v>177</v>
      </c>
      <c r="E110" s="14">
        <v>14</v>
      </c>
      <c r="F110" s="11" t="s">
        <v>1533</v>
      </c>
      <c r="G110" s="23"/>
      <c r="H110" s="9" t="s">
        <v>235</v>
      </c>
      <c r="I110" s="9" t="s">
        <v>235</v>
      </c>
      <c r="J110" s="9" t="s">
        <v>235</v>
      </c>
    </row>
    <row r="111" spans="2:10" ht="30">
      <c r="B111" s="11" t="s">
        <v>1741</v>
      </c>
      <c r="C111" s="11" t="s">
        <v>178</v>
      </c>
      <c r="D111" s="14" t="s">
        <v>177</v>
      </c>
      <c r="E111" s="11">
        <v>14</v>
      </c>
      <c r="F111" s="11" t="s">
        <v>1533</v>
      </c>
      <c r="G111" s="20"/>
      <c r="H111" s="9" t="s">
        <v>235</v>
      </c>
      <c r="I111" s="9" t="s">
        <v>235</v>
      </c>
      <c r="J111" s="9" t="s">
        <v>235</v>
      </c>
    </row>
    <row r="112" spans="2:10" ht="30">
      <c r="B112" s="11" t="s">
        <v>1790</v>
      </c>
      <c r="C112" s="11" t="s">
        <v>179</v>
      </c>
      <c r="D112" s="11" t="s">
        <v>177</v>
      </c>
      <c r="E112" s="11">
        <v>14</v>
      </c>
      <c r="F112" s="11" t="s">
        <v>1533</v>
      </c>
      <c r="G112" s="20"/>
      <c r="H112" s="9" t="s">
        <v>235</v>
      </c>
      <c r="I112" s="9" t="s">
        <v>235</v>
      </c>
      <c r="J112" s="9" t="s">
        <v>235</v>
      </c>
    </row>
    <row r="113" spans="2:10" ht="45">
      <c r="B113" s="11" t="s">
        <v>1827</v>
      </c>
      <c r="C113" s="502" t="s">
        <v>180</v>
      </c>
      <c r="D113" s="11" t="s">
        <v>177</v>
      </c>
      <c r="E113" s="11">
        <v>14</v>
      </c>
      <c r="F113" s="11" t="s">
        <v>1533</v>
      </c>
      <c r="G113" s="22"/>
      <c r="H113" s="9" t="s">
        <v>235</v>
      </c>
      <c r="I113" s="9" t="s">
        <v>235</v>
      </c>
      <c r="J113" s="9" t="s">
        <v>235</v>
      </c>
    </row>
    <row r="114" spans="2:10" ht="30">
      <c r="B114" s="10" t="s">
        <v>181</v>
      </c>
      <c r="C114" s="11" t="s">
        <v>182</v>
      </c>
      <c r="D114" s="14" t="s">
        <v>177</v>
      </c>
      <c r="E114" s="14">
        <v>14</v>
      </c>
      <c r="F114" s="11" t="s">
        <v>1533</v>
      </c>
      <c r="G114" s="23"/>
      <c r="H114" s="9" t="s">
        <v>235</v>
      </c>
      <c r="I114" s="9" t="s">
        <v>235</v>
      </c>
      <c r="J114" s="9" t="s">
        <v>235</v>
      </c>
    </row>
    <row r="115" spans="2:10" ht="45">
      <c r="B115" s="11" t="s">
        <v>1849</v>
      </c>
      <c r="C115" s="11" t="s">
        <v>183</v>
      </c>
      <c r="D115" s="14" t="s">
        <v>177</v>
      </c>
      <c r="E115" s="14">
        <v>14</v>
      </c>
      <c r="F115" s="11" t="s">
        <v>1533</v>
      </c>
      <c r="G115" s="23"/>
      <c r="H115" s="9" t="s">
        <v>235</v>
      </c>
      <c r="I115" s="9" t="s">
        <v>235</v>
      </c>
      <c r="J115" s="9" t="s">
        <v>235</v>
      </c>
    </row>
    <row r="116" spans="2:10" ht="45">
      <c r="B116" s="11" t="s">
        <v>1851</v>
      </c>
      <c r="C116" s="11" t="s">
        <v>184</v>
      </c>
      <c r="D116" s="14" t="s">
        <v>177</v>
      </c>
      <c r="E116" s="14">
        <v>14</v>
      </c>
      <c r="F116" s="11" t="s">
        <v>1533</v>
      </c>
      <c r="G116" s="23"/>
      <c r="H116" s="9" t="s">
        <v>235</v>
      </c>
      <c r="I116" s="9" t="s">
        <v>235</v>
      </c>
      <c r="J116" s="9" t="s">
        <v>235</v>
      </c>
    </row>
    <row r="117" spans="2:10" ht="30">
      <c r="B117" s="11" t="s">
        <v>1748</v>
      </c>
      <c r="C117" s="11" t="s">
        <v>185</v>
      </c>
      <c r="D117" s="14" t="s">
        <v>41</v>
      </c>
      <c r="E117" s="14">
        <v>16</v>
      </c>
      <c r="F117" s="11" t="s">
        <v>1533</v>
      </c>
      <c r="G117" s="23"/>
      <c r="H117" s="9" t="s">
        <v>235</v>
      </c>
      <c r="I117" s="9" t="s">
        <v>235</v>
      </c>
      <c r="J117" s="9" t="s">
        <v>235</v>
      </c>
    </row>
    <row r="118" spans="2:10" ht="15.75">
      <c r="B118" s="11" t="s">
        <v>1686</v>
      </c>
      <c r="C118" s="11" t="s">
        <v>186</v>
      </c>
      <c r="D118" s="11" t="s">
        <v>41</v>
      </c>
      <c r="E118" s="14" t="s">
        <v>187</v>
      </c>
      <c r="F118" s="11">
        <v>0.01</v>
      </c>
      <c r="G118" s="23"/>
      <c r="H118" s="9" t="s">
        <v>235</v>
      </c>
      <c r="I118" s="9" t="s">
        <v>235</v>
      </c>
      <c r="J118" s="9" t="s">
        <v>235</v>
      </c>
    </row>
    <row r="119" spans="2:10" ht="15.75">
      <c r="B119" s="11" t="s">
        <v>1700</v>
      </c>
      <c r="C119" s="11" t="s">
        <v>188</v>
      </c>
      <c r="D119" s="11" t="s">
        <v>41</v>
      </c>
      <c r="E119" s="14" t="s">
        <v>187</v>
      </c>
      <c r="F119" s="11">
        <v>0.01</v>
      </c>
      <c r="G119" s="26"/>
      <c r="H119" s="9" t="s">
        <v>235</v>
      </c>
      <c r="I119" s="9" t="s">
        <v>235</v>
      </c>
      <c r="J119" s="9" t="s">
        <v>235</v>
      </c>
    </row>
    <row r="120" spans="2:10" ht="15.75">
      <c r="B120" s="11" t="s">
        <v>1732</v>
      </c>
      <c r="C120" s="11" t="s">
        <v>199</v>
      </c>
      <c r="D120" s="11" t="s">
        <v>42</v>
      </c>
      <c r="E120" s="11" t="s">
        <v>200</v>
      </c>
      <c r="F120" s="321">
        <v>2</v>
      </c>
      <c r="G120" s="22"/>
      <c r="H120" s="9" t="s">
        <v>235</v>
      </c>
      <c r="I120" s="9" t="s">
        <v>235</v>
      </c>
      <c r="J120" s="9" t="s">
        <v>235</v>
      </c>
    </row>
    <row r="121" spans="2:10" ht="15.75">
      <c r="B121" s="11" t="s">
        <v>1735</v>
      </c>
      <c r="C121" s="11" t="s">
        <v>201</v>
      </c>
      <c r="D121" s="11" t="s">
        <v>42</v>
      </c>
      <c r="E121" s="11" t="s">
        <v>202</v>
      </c>
      <c r="F121" s="321">
        <v>2</v>
      </c>
      <c r="G121" s="22"/>
      <c r="H121" s="9" t="s">
        <v>235</v>
      </c>
      <c r="I121" s="9" t="s">
        <v>235</v>
      </c>
      <c r="J121" s="9" t="s">
        <v>235</v>
      </c>
    </row>
    <row r="122" spans="2:10" ht="15.75">
      <c r="B122" s="11" t="s">
        <v>1740</v>
      </c>
      <c r="C122" s="11" t="s">
        <v>203</v>
      </c>
      <c r="D122" s="11" t="s">
        <v>42</v>
      </c>
      <c r="E122" s="11" t="s">
        <v>200</v>
      </c>
      <c r="F122" s="321">
        <v>2</v>
      </c>
      <c r="G122" s="22"/>
      <c r="H122" s="9" t="s">
        <v>235</v>
      </c>
      <c r="I122" s="9" t="s">
        <v>235</v>
      </c>
      <c r="J122" s="9" t="s">
        <v>235</v>
      </c>
    </row>
    <row r="123" spans="2:10" ht="15.75">
      <c r="B123" s="11" t="s">
        <v>1742</v>
      </c>
      <c r="C123" s="11" t="s">
        <v>204</v>
      </c>
      <c r="D123" s="11" t="s">
        <v>42</v>
      </c>
      <c r="E123" s="11" t="s">
        <v>200</v>
      </c>
      <c r="F123" s="321">
        <v>2</v>
      </c>
      <c r="G123" s="22"/>
      <c r="H123" s="9" t="s">
        <v>235</v>
      </c>
      <c r="I123" s="9" t="s">
        <v>235</v>
      </c>
      <c r="J123" s="9" t="s">
        <v>235</v>
      </c>
    </row>
    <row r="124" spans="2:10" ht="15.75">
      <c r="B124" s="11" t="s">
        <v>1773</v>
      </c>
      <c r="C124" s="11" t="s">
        <v>205</v>
      </c>
      <c r="D124" s="11" t="s">
        <v>42</v>
      </c>
      <c r="E124" s="11" t="s">
        <v>202</v>
      </c>
      <c r="F124" s="321">
        <v>12</v>
      </c>
      <c r="G124" s="22"/>
      <c r="H124" s="9" t="s">
        <v>235</v>
      </c>
      <c r="I124" s="9" t="s">
        <v>235</v>
      </c>
      <c r="J124" s="9" t="s">
        <v>235</v>
      </c>
    </row>
    <row r="125" spans="2:10" ht="15.75">
      <c r="B125" s="11" t="s">
        <v>1820</v>
      </c>
      <c r="C125" s="11" t="s">
        <v>206</v>
      </c>
      <c r="D125" s="11" t="s">
        <v>42</v>
      </c>
      <c r="E125" s="11" t="s">
        <v>200</v>
      </c>
      <c r="F125" s="321">
        <v>2</v>
      </c>
      <c r="G125" s="22"/>
      <c r="H125" s="9" t="s">
        <v>235</v>
      </c>
      <c r="I125" s="9" t="s">
        <v>235</v>
      </c>
      <c r="J125" s="9" t="s">
        <v>235</v>
      </c>
    </row>
    <row r="126" spans="2:10" ht="15.75">
      <c r="B126" s="11" t="s">
        <v>1848</v>
      </c>
      <c r="C126" s="11" t="s">
        <v>207</v>
      </c>
      <c r="D126" s="11" t="s">
        <v>42</v>
      </c>
      <c r="E126" s="11" t="s">
        <v>202</v>
      </c>
      <c r="F126" s="321">
        <v>2</v>
      </c>
      <c r="G126" s="22"/>
      <c r="H126" s="9" t="s">
        <v>235</v>
      </c>
      <c r="I126" s="9" t="s">
        <v>235</v>
      </c>
      <c r="J126" s="9" t="s">
        <v>235</v>
      </c>
    </row>
    <row r="127" spans="2:10" ht="15.75">
      <c r="B127" s="11" t="s">
        <v>1865</v>
      </c>
      <c r="C127" s="11" t="s">
        <v>208</v>
      </c>
      <c r="D127" s="11" t="s">
        <v>42</v>
      </c>
      <c r="E127" s="11" t="s">
        <v>200</v>
      </c>
      <c r="F127" s="321">
        <v>2</v>
      </c>
      <c r="G127" s="22"/>
      <c r="H127" s="9" t="s">
        <v>235</v>
      </c>
      <c r="I127" s="9" t="s">
        <v>235</v>
      </c>
      <c r="J127" s="9" t="s">
        <v>235</v>
      </c>
    </row>
    <row r="128" spans="2:10" ht="15.75">
      <c r="B128" s="11" t="s">
        <v>1914</v>
      </c>
      <c r="C128" s="11" t="s">
        <v>209</v>
      </c>
      <c r="D128" s="11" t="s">
        <v>42</v>
      </c>
      <c r="E128" s="11" t="s">
        <v>202</v>
      </c>
      <c r="F128" s="321">
        <v>2</v>
      </c>
      <c r="G128" s="22"/>
      <c r="H128" s="9" t="s">
        <v>235</v>
      </c>
      <c r="I128" s="9" t="s">
        <v>235</v>
      </c>
      <c r="J128" s="9" t="s">
        <v>235</v>
      </c>
    </row>
    <row r="129" spans="2:10" ht="15.75">
      <c r="B129" s="11" t="s">
        <v>1931</v>
      </c>
      <c r="C129" s="11" t="s">
        <v>210</v>
      </c>
      <c r="D129" s="11" t="s">
        <v>42</v>
      </c>
      <c r="E129" s="11" t="s">
        <v>10</v>
      </c>
      <c r="F129" s="321">
        <v>2</v>
      </c>
      <c r="G129" s="22"/>
      <c r="H129" s="9" t="s">
        <v>235</v>
      </c>
      <c r="I129" s="9" t="s">
        <v>235</v>
      </c>
      <c r="J129" s="9" t="s">
        <v>235</v>
      </c>
    </row>
    <row r="130" spans="2:10" ht="15.75">
      <c r="B130" s="11" t="s">
        <v>1933</v>
      </c>
      <c r="C130" s="11" t="s">
        <v>211</v>
      </c>
      <c r="D130" s="11" t="s">
        <v>42</v>
      </c>
      <c r="E130" s="11" t="s">
        <v>200</v>
      </c>
      <c r="F130" s="321">
        <v>2</v>
      </c>
      <c r="G130" s="22"/>
      <c r="H130" s="9" t="s">
        <v>235</v>
      </c>
      <c r="I130" s="9" t="s">
        <v>235</v>
      </c>
      <c r="J130" s="9" t="s">
        <v>235</v>
      </c>
    </row>
    <row r="131" spans="2:10" ht="15.75">
      <c r="B131" s="11" t="s">
        <v>1937</v>
      </c>
      <c r="C131" s="11" t="s">
        <v>212</v>
      </c>
      <c r="D131" s="11" t="s">
        <v>42</v>
      </c>
      <c r="E131" s="11" t="s">
        <v>200</v>
      </c>
      <c r="F131" s="321">
        <v>12.1</v>
      </c>
      <c r="G131" s="22"/>
      <c r="H131" s="9" t="s">
        <v>235</v>
      </c>
      <c r="I131" s="9" t="s">
        <v>235</v>
      </c>
      <c r="J131" s="9" t="s">
        <v>235</v>
      </c>
    </row>
    <row r="132" spans="2:10" ht="15.75">
      <c r="B132" s="11" t="s">
        <v>1736</v>
      </c>
      <c r="C132" s="11" t="s">
        <v>213</v>
      </c>
      <c r="D132" s="11" t="s">
        <v>42</v>
      </c>
      <c r="E132" s="11" t="s">
        <v>200</v>
      </c>
      <c r="F132" s="321">
        <v>0.1</v>
      </c>
      <c r="G132" s="28"/>
      <c r="H132" s="9" t="s">
        <v>235</v>
      </c>
      <c r="I132" s="9" t="s">
        <v>235</v>
      </c>
      <c r="J132" s="9" t="s">
        <v>235</v>
      </c>
    </row>
    <row r="133" spans="2:10" ht="15.75">
      <c r="B133" s="11" t="s">
        <v>1750</v>
      </c>
      <c r="C133" s="11" t="s">
        <v>214</v>
      </c>
      <c r="D133" s="11" t="s">
        <v>42</v>
      </c>
      <c r="E133" s="11" t="s">
        <v>200</v>
      </c>
      <c r="F133" s="321">
        <v>0.1</v>
      </c>
      <c r="G133" s="20"/>
      <c r="H133" s="9" t="s">
        <v>235</v>
      </c>
      <c r="I133" s="9" t="s">
        <v>235</v>
      </c>
      <c r="J133" s="9" t="s">
        <v>235</v>
      </c>
    </row>
    <row r="134" spans="2:10" ht="15.75">
      <c r="B134" s="11" t="s">
        <v>1923</v>
      </c>
      <c r="C134" s="11" t="s">
        <v>215</v>
      </c>
      <c r="D134" s="11" t="s">
        <v>42</v>
      </c>
      <c r="E134" s="11" t="s">
        <v>200</v>
      </c>
      <c r="F134" s="321">
        <v>1.7000000000000001E-2</v>
      </c>
      <c r="G134" s="22"/>
      <c r="H134" s="9" t="s">
        <v>235</v>
      </c>
      <c r="I134" s="9" t="s">
        <v>235</v>
      </c>
      <c r="J134" s="9" t="s">
        <v>235</v>
      </c>
    </row>
    <row r="135" spans="2:10" ht="30">
      <c r="B135" s="11" t="s">
        <v>1911</v>
      </c>
      <c r="C135" s="11" t="s">
        <v>189</v>
      </c>
      <c r="D135" s="11" t="s">
        <v>190</v>
      </c>
      <c r="E135" s="11">
        <v>18</v>
      </c>
      <c r="F135" s="11">
        <v>1</v>
      </c>
      <c r="G135" s="27" t="s">
        <v>198</v>
      </c>
      <c r="H135" s="9" t="s">
        <v>235</v>
      </c>
      <c r="I135" s="9" t="s">
        <v>235</v>
      </c>
      <c r="J135" s="9" t="s">
        <v>235</v>
      </c>
    </row>
    <row r="136" spans="2:10" ht="15.75">
      <c r="B136" s="11" t="s">
        <v>1651</v>
      </c>
      <c r="C136" s="11" t="s">
        <v>191</v>
      </c>
      <c r="D136" s="11" t="s">
        <v>190</v>
      </c>
      <c r="E136" s="11">
        <v>18</v>
      </c>
      <c r="F136" s="11">
        <v>1</v>
      </c>
      <c r="G136" s="22"/>
      <c r="H136" s="9" t="s">
        <v>235</v>
      </c>
      <c r="I136" s="9" t="s">
        <v>235</v>
      </c>
      <c r="J136" s="9" t="s">
        <v>235</v>
      </c>
    </row>
    <row r="137" spans="2:10" ht="45">
      <c r="B137" s="11" t="s">
        <v>1838</v>
      </c>
      <c r="C137" s="11" t="s">
        <v>192</v>
      </c>
      <c r="D137" s="11" t="s">
        <v>190</v>
      </c>
      <c r="E137" s="11">
        <v>18</v>
      </c>
      <c r="F137" s="11">
        <v>1</v>
      </c>
      <c r="G137" s="27" t="s">
        <v>198</v>
      </c>
      <c r="H137" s="9" t="s">
        <v>235</v>
      </c>
      <c r="I137" s="9" t="s">
        <v>235</v>
      </c>
      <c r="J137" s="9" t="s">
        <v>235</v>
      </c>
    </row>
    <row r="138" spans="2:10" ht="15.75">
      <c r="B138" s="11" t="s">
        <v>1635</v>
      </c>
      <c r="C138" s="11" t="s">
        <v>193</v>
      </c>
      <c r="D138" s="11" t="s">
        <v>190</v>
      </c>
      <c r="E138" s="11">
        <v>18</v>
      </c>
      <c r="F138" s="11">
        <v>1</v>
      </c>
      <c r="G138" s="22"/>
      <c r="H138" s="9" t="s">
        <v>235</v>
      </c>
      <c r="I138" s="9" t="s">
        <v>235</v>
      </c>
      <c r="J138" s="9" t="s">
        <v>235</v>
      </c>
    </row>
    <row r="139" spans="2:10">
      <c r="B139" s="11" t="s">
        <v>1654</v>
      </c>
      <c r="C139" s="11" t="s">
        <v>194</v>
      </c>
      <c r="D139" s="11" t="s">
        <v>190</v>
      </c>
      <c r="E139" s="11">
        <v>18</v>
      </c>
      <c r="F139" s="11">
        <v>1</v>
      </c>
      <c r="G139" s="20"/>
      <c r="H139" s="9" t="s">
        <v>235</v>
      </c>
      <c r="I139" s="9" t="s">
        <v>235</v>
      </c>
      <c r="J139" s="9" t="s">
        <v>235</v>
      </c>
    </row>
    <row r="140" spans="2:10">
      <c r="B140" s="11" t="s">
        <v>1660</v>
      </c>
      <c r="C140" s="11" t="s">
        <v>195</v>
      </c>
      <c r="D140" s="11" t="s">
        <v>190</v>
      </c>
      <c r="E140" s="11">
        <v>18</v>
      </c>
      <c r="F140" s="11">
        <v>1</v>
      </c>
      <c r="G140" s="20"/>
      <c r="H140" s="9" t="s">
        <v>235</v>
      </c>
      <c r="I140" s="9" t="s">
        <v>235</v>
      </c>
      <c r="J140" s="9" t="s">
        <v>235</v>
      </c>
    </row>
    <row r="141" spans="2:10" ht="15.75">
      <c r="B141" s="11" t="s">
        <v>1718</v>
      </c>
      <c r="C141" s="11" t="s">
        <v>62</v>
      </c>
      <c r="D141" s="11" t="s">
        <v>44</v>
      </c>
      <c r="E141" s="11" t="s">
        <v>49</v>
      </c>
      <c r="F141" s="11">
        <v>0.2</v>
      </c>
      <c r="G141" s="12"/>
      <c r="H141" s="9" t="s">
        <v>235</v>
      </c>
      <c r="I141" s="9" t="s">
        <v>235</v>
      </c>
      <c r="J141" s="9" t="s">
        <v>235</v>
      </c>
    </row>
    <row r="142" spans="2:10" ht="30">
      <c r="B142" s="11" t="s">
        <v>522</v>
      </c>
      <c r="C142" s="11" t="s">
        <v>83</v>
      </c>
      <c r="D142" s="11" t="s">
        <v>84</v>
      </c>
      <c r="E142" s="11" t="s">
        <v>49</v>
      </c>
      <c r="F142" s="11" t="s">
        <v>1533</v>
      </c>
      <c r="G142" s="18"/>
      <c r="H142" s="9" t="s">
        <v>235</v>
      </c>
      <c r="I142" s="9" t="s">
        <v>235</v>
      </c>
      <c r="J142" s="9" t="s">
        <v>235</v>
      </c>
    </row>
    <row r="143" spans="2:10" ht="30">
      <c r="B143" s="11" t="s">
        <v>1812</v>
      </c>
      <c r="C143" s="11" t="s">
        <v>77</v>
      </c>
      <c r="D143" s="11" t="s">
        <v>46</v>
      </c>
      <c r="E143" s="11" t="s">
        <v>49</v>
      </c>
      <c r="F143" s="11" t="s">
        <v>1533</v>
      </c>
      <c r="G143" s="11"/>
      <c r="H143" s="9" t="s">
        <v>235</v>
      </c>
      <c r="I143" s="9" t="s">
        <v>235</v>
      </c>
      <c r="J143" s="9" t="s">
        <v>235</v>
      </c>
    </row>
    <row r="144" spans="2:10">
      <c r="B144" s="11" t="s">
        <v>1734</v>
      </c>
      <c r="C144" s="11" t="s">
        <v>216</v>
      </c>
      <c r="D144" s="11" t="s">
        <v>46</v>
      </c>
      <c r="E144" s="11">
        <v>19</v>
      </c>
      <c r="F144" s="11"/>
      <c r="G144" s="20" t="s">
        <v>217</v>
      </c>
      <c r="H144" s="9" t="s">
        <v>235</v>
      </c>
      <c r="I144" s="9" t="s">
        <v>235</v>
      </c>
      <c r="J144" s="9" t="s">
        <v>235</v>
      </c>
    </row>
    <row r="145" spans="2:10" ht="30">
      <c r="B145" s="11" t="s">
        <v>1721</v>
      </c>
      <c r="C145" s="11" t="s">
        <v>218</v>
      </c>
      <c r="D145" s="11" t="s">
        <v>46</v>
      </c>
      <c r="E145" s="11">
        <v>21</v>
      </c>
      <c r="F145" s="11" t="s">
        <v>219</v>
      </c>
      <c r="G145" s="20" t="s">
        <v>220</v>
      </c>
      <c r="H145" s="9" t="s">
        <v>235</v>
      </c>
      <c r="I145" s="9" t="s">
        <v>235</v>
      </c>
      <c r="J145" s="9" t="s">
        <v>235</v>
      </c>
    </row>
    <row r="146" spans="2:10" ht="30">
      <c r="B146" s="11" t="s">
        <v>1719</v>
      </c>
      <c r="C146" s="11" t="s">
        <v>221</v>
      </c>
      <c r="D146" s="11" t="s">
        <v>46</v>
      </c>
      <c r="E146" s="11">
        <v>21</v>
      </c>
      <c r="F146" s="11" t="s">
        <v>219</v>
      </c>
      <c r="G146" s="20" t="s">
        <v>222</v>
      </c>
      <c r="H146" s="9" t="s">
        <v>235</v>
      </c>
      <c r="I146" s="9" t="s">
        <v>235</v>
      </c>
      <c r="J146" s="9" t="s">
        <v>235</v>
      </c>
    </row>
    <row r="147" spans="2:10" ht="30">
      <c r="B147" s="11" t="s">
        <v>1729</v>
      </c>
      <c r="C147" s="11" t="s">
        <v>223</v>
      </c>
      <c r="D147" s="11" t="s">
        <v>46</v>
      </c>
      <c r="E147" s="11">
        <v>21</v>
      </c>
      <c r="F147" s="11" t="s">
        <v>219</v>
      </c>
      <c r="G147" s="20" t="s">
        <v>224</v>
      </c>
      <c r="H147" s="9" t="s">
        <v>235</v>
      </c>
      <c r="I147" s="9" t="s">
        <v>235</v>
      </c>
      <c r="J147" s="9" t="s">
        <v>235</v>
      </c>
    </row>
    <row r="148" spans="2:10" ht="30">
      <c r="B148" s="11" t="s">
        <v>1723</v>
      </c>
      <c r="C148" s="11" t="s">
        <v>225</v>
      </c>
      <c r="D148" s="11" t="s">
        <v>46</v>
      </c>
      <c r="E148" s="11">
        <v>21</v>
      </c>
      <c r="F148" s="11" t="s">
        <v>219</v>
      </c>
      <c r="G148" s="20" t="s">
        <v>226</v>
      </c>
      <c r="H148" s="9" t="s">
        <v>235</v>
      </c>
      <c r="I148" s="9" t="s">
        <v>235</v>
      </c>
      <c r="J148" s="9" t="s">
        <v>235</v>
      </c>
    </row>
  </sheetData>
  <sortState ref="B4:J148">
    <sortCondition ref="D4:D148"/>
  </sortState>
  <mergeCells count="5">
    <mergeCell ref="H2:J2"/>
    <mergeCell ref="E2:G2"/>
    <mergeCell ref="B2:B3"/>
    <mergeCell ref="D2:D3"/>
    <mergeCell ref="C2:C3"/>
  </mergeCells>
  <conditionalFormatting sqref="F14 F16:F20 F22:F25 F4:F12 F28:F75 F77:F127">
    <cfRule type="expression" dxfId="21" priority="115">
      <formula>AND(G4&gt;0,F4&gt;G4)</formula>
    </cfRule>
  </conditionalFormatting>
  <conditionalFormatting sqref="F13">
    <cfRule type="expression" dxfId="20" priority="114">
      <formula>AND(G13&gt;0,F13&gt;G13)</formula>
    </cfRule>
  </conditionalFormatting>
  <conditionalFormatting sqref="F15">
    <cfRule type="expression" dxfId="19" priority="113">
      <formula>AND(G15&gt;0,F15&gt;G15)</formula>
    </cfRule>
  </conditionalFormatting>
  <conditionalFormatting sqref="F21">
    <cfRule type="expression" dxfId="18" priority="112">
      <formula>AND(G21&gt;0,F21&gt;G21)</formula>
    </cfRule>
  </conditionalFormatting>
  <conditionalFormatting sqref="F26">
    <cfRule type="expression" dxfId="17" priority="111">
      <formula>AND(G26&gt;0,F26&gt;G26)</formula>
    </cfRule>
  </conditionalFormatting>
  <conditionalFormatting sqref="F27">
    <cfRule type="expression" dxfId="16" priority="110">
      <formula>AND(G27&gt;0,F27&gt;G27)</formula>
    </cfRule>
  </conditionalFormatting>
  <conditionalFormatting sqref="F141">
    <cfRule type="expression" dxfId="15" priority="109">
      <formula>AND(G141&gt;0,F141&gt;G141)</formula>
    </cfRule>
  </conditionalFormatting>
  <conditionalFormatting sqref="F144:F148">
    <cfRule type="expression" dxfId="14" priority="116">
      <formula>AND(#REF!&gt;0,F144&gt;#REF!)</formula>
    </cfRule>
  </conditionalFormatting>
  <conditionalFormatting sqref="F84">
    <cfRule type="expression" dxfId="13" priority="13">
      <formula>AND(G84&gt;0,F84&gt;G84)</formula>
    </cfRule>
  </conditionalFormatting>
  <conditionalFormatting sqref="F85">
    <cfRule type="expression" dxfId="12" priority="12">
      <formula>AND(G85&gt;0,F85&gt;G85)</formula>
    </cfRule>
  </conditionalFormatting>
  <conditionalFormatting sqref="F108">
    <cfRule type="expression" dxfId="11" priority="11">
      <formula>AND(G108&gt;0,F108&gt;G108)</formula>
    </cfRule>
  </conditionalFormatting>
  <conditionalFormatting sqref="F110">
    <cfRule type="expression" dxfId="10" priority="10">
      <formula>AND(G110&gt;0,F110&gt;G110)</formula>
    </cfRule>
  </conditionalFormatting>
  <conditionalFormatting sqref="F111">
    <cfRule type="expression" dxfId="9" priority="9">
      <formula>AND(G111&gt;0,F111&gt;G111)</formula>
    </cfRule>
  </conditionalFormatting>
  <conditionalFormatting sqref="F112">
    <cfRule type="expression" dxfId="8" priority="8">
      <formula>AND(G112&gt;0,F112&gt;G112)</formula>
    </cfRule>
  </conditionalFormatting>
  <conditionalFormatting sqref="F113">
    <cfRule type="expression" dxfId="7" priority="7">
      <formula>AND(G113&gt;0,F113&gt;G113)</formula>
    </cfRule>
  </conditionalFormatting>
  <conditionalFormatting sqref="F114">
    <cfRule type="expression" dxfId="6" priority="6">
      <formula>AND(G114&gt;0,F114&gt;G114)</formula>
    </cfRule>
  </conditionalFormatting>
  <conditionalFormatting sqref="F115">
    <cfRule type="expression" dxfId="5" priority="5">
      <formula>AND(G115&gt;0,F115&gt;G115)</formula>
    </cfRule>
  </conditionalFormatting>
  <conditionalFormatting sqref="F116">
    <cfRule type="expression" dxfId="4" priority="4">
      <formula>AND(G116&gt;0,F116&gt;G116)</formula>
    </cfRule>
  </conditionalFormatting>
  <conditionalFormatting sqref="F117">
    <cfRule type="expression" dxfId="3" priority="3">
      <formula>AND(G117&gt;0,F117&gt;G117)</formula>
    </cfRule>
  </conditionalFormatting>
  <conditionalFormatting sqref="F142">
    <cfRule type="expression" dxfId="2" priority="2">
      <formula>AND(G142&gt;0,F142&gt;G142)</formula>
    </cfRule>
  </conditionalFormatting>
  <conditionalFormatting sqref="F143">
    <cfRule type="expression" dxfId="1" priority="1">
      <formula>AND(G143&gt;0,F143&gt;G143)</formula>
    </cfRule>
  </conditionalFormatting>
  <conditionalFormatting sqref="F76">
    <cfRule type="expression" dxfId="0" priority="117">
      <formula>AND(#REF!&gt;0,F76&gt;#REF!)</formula>
    </cfRule>
  </conditionalFormatting>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sheetPr>
    <tabColor rgb="FF00B050"/>
    <pageSetUpPr fitToPage="1"/>
  </sheetPr>
  <dimension ref="B2:I40"/>
  <sheetViews>
    <sheetView topLeftCell="A16" workbookViewId="0">
      <selection activeCell="B22" sqref="B22:H23"/>
    </sheetView>
  </sheetViews>
  <sheetFormatPr baseColWidth="10" defaultColWidth="11.42578125" defaultRowHeight="12.75"/>
  <cols>
    <col min="1" max="1" width="11.42578125" style="29"/>
    <col min="2" max="2" width="17.7109375" style="29" customWidth="1"/>
    <col min="3" max="3" width="30.42578125" style="29" customWidth="1"/>
    <col min="4" max="4" width="42.85546875" style="29" bestFit="1" customWidth="1"/>
    <col min="5" max="6" width="12.7109375" style="29" customWidth="1"/>
    <col min="7" max="7" width="11.42578125" style="29"/>
    <col min="8" max="8" width="79.42578125" style="29" customWidth="1"/>
    <col min="9" max="9" width="2.28515625" style="29" customWidth="1"/>
    <col min="10" max="16384" width="11.42578125" style="29"/>
  </cols>
  <sheetData>
    <row r="2" spans="2:9" ht="27.75" customHeight="1">
      <c r="B2" s="80" t="s">
        <v>236</v>
      </c>
      <c r="C2" s="80" t="s">
        <v>1</v>
      </c>
      <c r="D2" s="80" t="s">
        <v>237</v>
      </c>
      <c r="E2" s="575" t="s">
        <v>238</v>
      </c>
      <c r="F2" s="575"/>
      <c r="G2" s="81" t="s">
        <v>239</v>
      </c>
      <c r="H2" s="81" t="s">
        <v>2</v>
      </c>
      <c r="I2" s="30"/>
    </row>
    <row r="3" spans="2:9" ht="20.100000000000001" customHeight="1">
      <c r="B3" s="568">
        <v>1</v>
      </c>
      <c r="C3" s="572" t="s">
        <v>240</v>
      </c>
      <c r="D3" s="8" t="s">
        <v>241</v>
      </c>
      <c r="E3" s="569" t="s">
        <v>242</v>
      </c>
      <c r="F3" s="569"/>
      <c r="G3" s="37" t="s">
        <v>243</v>
      </c>
      <c r="H3" s="571" t="s">
        <v>244</v>
      </c>
      <c r="I3" s="31"/>
    </row>
    <row r="4" spans="2:9" ht="20.100000000000001" customHeight="1">
      <c r="B4" s="568"/>
      <c r="C4" s="572"/>
      <c r="D4" s="8" t="s">
        <v>245</v>
      </c>
      <c r="E4" s="38" t="s">
        <v>246</v>
      </c>
      <c r="F4" s="39" t="s">
        <v>247</v>
      </c>
      <c r="G4" s="37"/>
      <c r="H4" s="571"/>
      <c r="I4" s="32"/>
    </row>
    <row r="5" spans="2:9" ht="20.100000000000001" customHeight="1">
      <c r="B5" s="568">
        <v>2</v>
      </c>
      <c r="C5" s="572" t="s">
        <v>240</v>
      </c>
      <c r="D5" s="8" t="s">
        <v>248</v>
      </c>
      <c r="E5" s="569" t="s">
        <v>249</v>
      </c>
      <c r="F5" s="569"/>
      <c r="G5" s="37" t="s">
        <v>250</v>
      </c>
      <c r="H5" s="570" t="s">
        <v>244</v>
      </c>
      <c r="I5" s="31"/>
    </row>
    <row r="6" spans="2:9" ht="20.100000000000001" customHeight="1">
      <c r="B6" s="568"/>
      <c r="C6" s="572"/>
      <c r="D6" s="8" t="s">
        <v>251</v>
      </c>
      <c r="E6" s="39" t="s">
        <v>252</v>
      </c>
      <c r="F6" s="39" t="s">
        <v>247</v>
      </c>
      <c r="G6" s="40"/>
      <c r="H6" s="570"/>
      <c r="I6" s="31"/>
    </row>
    <row r="7" spans="2:9" ht="20.100000000000001" customHeight="1">
      <c r="B7" s="41">
        <v>3</v>
      </c>
      <c r="C7" s="8" t="s">
        <v>253</v>
      </c>
      <c r="D7" s="8" t="s">
        <v>254</v>
      </c>
      <c r="E7" s="569" t="s">
        <v>255</v>
      </c>
      <c r="F7" s="569"/>
      <c r="G7" s="1"/>
      <c r="H7" s="1"/>
      <c r="I7" s="32"/>
    </row>
    <row r="8" spans="2:9" ht="20.100000000000001" customHeight="1">
      <c r="B8" s="41">
        <v>4</v>
      </c>
      <c r="C8" s="8" t="s">
        <v>12</v>
      </c>
      <c r="D8" s="8" t="s">
        <v>256</v>
      </c>
      <c r="E8" s="569" t="s">
        <v>257</v>
      </c>
      <c r="F8" s="569"/>
      <c r="G8" s="1"/>
      <c r="H8" s="1"/>
      <c r="I8" s="32"/>
    </row>
    <row r="9" spans="2:9" ht="20.100000000000001" customHeight="1">
      <c r="B9" s="568">
        <v>5</v>
      </c>
      <c r="C9" s="572" t="s">
        <v>22</v>
      </c>
      <c r="D9" s="8" t="s">
        <v>258</v>
      </c>
      <c r="E9" s="569" t="s">
        <v>259</v>
      </c>
      <c r="F9" s="569"/>
      <c r="G9" s="37" t="s">
        <v>260</v>
      </c>
      <c r="H9" s="36"/>
      <c r="I9" s="33"/>
    </row>
    <row r="10" spans="2:9" ht="20.100000000000001" customHeight="1">
      <c r="B10" s="568"/>
      <c r="C10" s="572"/>
      <c r="D10" s="8" t="s">
        <v>261</v>
      </c>
      <c r="E10" s="569" t="s">
        <v>262</v>
      </c>
      <c r="F10" s="569"/>
      <c r="G10" s="569" t="s">
        <v>263</v>
      </c>
      <c r="H10" s="36"/>
      <c r="I10" s="34"/>
    </row>
    <row r="11" spans="2:9" ht="20.100000000000001" customHeight="1">
      <c r="B11" s="568"/>
      <c r="C11" s="572"/>
      <c r="D11" s="8" t="s">
        <v>264</v>
      </c>
      <c r="E11" s="569" t="s">
        <v>265</v>
      </c>
      <c r="F11" s="569"/>
      <c r="G11" s="569"/>
      <c r="H11" s="42"/>
      <c r="I11" s="34"/>
    </row>
    <row r="12" spans="2:9" ht="20.100000000000001" customHeight="1">
      <c r="B12" s="568">
        <v>6</v>
      </c>
      <c r="C12" s="572" t="s">
        <v>266</v>
      </c>
      <c r="D12" s="8" t="s">
        <v>258</v>
      </c>
      <c r="E12" s="569" t="s">
        <v>267</v>
      </c>
      <c r="F12" s="569"/>
      <c r="G12" s="37" t="s">
        <v>260</v>
      </c>
      <c r="H12" s="36"/>
      <c r="I12" s="33"/>
    </row>
    <row r="13" spans="2:9" ht="20.100000000000001" customHeight="1">
      <c r="B13" s="568"/>
      <c r="C13" s="572"/>
      <c r="D13" s="8" t="s">
        <v>268</v>
      </c>
      <c r="E13" s="569" t="s">
        <v>269</v>
      </c>
      <c r="F13" s="569"/>
      <c r="G13" s="569" t="s">
        <v>270</v>
      </c>
      <c r="H13" s="42"/>
      <c r="I13" s="34"/>
    </row>
    <row r="14" spans="2:9" ht="20.100000000000001" customHeight="1">
      <c r="B14" s="568"/>
      <c r="C14" s="572"/>
      <c r="D14" s="8" t="s">
        <v>271</v>
      </c>
      <c r="E14" s="574" t="s">
        <v>272</v>
      </c>
      <c r="F14" s="574"/>
      <c r="G14" s="569"/>
      <c r="H14" s="42"/>
      <c r="I14" s="34"/>
    </row>
    <row r="15" spans="2:9" ht="20.100000000000001" customHeight="1">
      <c r="B15" s="568">
        <v>7</v>
      </c>
      <c r="C15" s="572" t="s">
        <v>266</v>
      </c>
      <c r="D15" s="8" t="s">
        <v>258</v>
      </c>
      <c r="E15" s="569" t="s">
        <v>267</v>
      </c>
      <c r="F15" s="569"/>
      <c r="G15" s="37" t="s">
        <v>260</v>
      </c>
      <c r="H15" s="36"/>
      <c r="I15" s="32"/>
    </row>
    <row r="16" spans="2:9" ht="20.100000000000001" customHeight="1">
      <c r="B16" s="568"/>
      <c r="C16" s="572"/>
      <c r="D16" s="1" t="s">
        <v>273</v>
      </c>
      <c r="E16" s="569" t="s">
        <v>274</v>
      </c>
      <c r="F16" s="569"/>
      <c r="G16" s="1"/>
      <c r="H16" s="42"/>
      <c r="I16" s="32"/>
    </row>
    <row r="17" spans="2:9" ht="20.100000000000001" customHeight="1">
      <c r="B17" s="41">
        <v>8</v>
      </c>
      <c r="C17" s="8" t="s">
        <v>275</v>
      </c>
      <c r="D17" s="7" t="s">
        <v>276</v>
      </c>
      <c r="E17" s="569" t="s">
        <v>277</v>
      </c>
      <c r="F17" s="569"/>
      <c r="G17" s="37" t="s">
        <v>278</v>
      </c>
      <c r="H17" s="42"/>
      <c r="I17" s="34"/>
    </row>
    <row r="18" spans="2:9" ht="20.100000000000001" customHeight="1">
      <c r="B18" s="568">
        <v>9</v>
      </c>
      <c r="C18" s="572" t="s">
        <v>279</v>
      </c>
      <c r="D18" s="8" t="s">
        <v>258</v>
      </c>
      <c r="E18" s="569" t="s">
        <v>267</v>
      </c>
      <c r="F18" s="569"/>
      <c r="G18" s="37" t="s">
        <v>260</v>
      </c>
      <c r="H18" s="36"/>
      <c r="I18" s="33"/>
    </row>
    <row r="19" spans="2:9" ht="20.100000000000001" customHeight="1">
      <c r="B19" s="568"/>
      <c r="C19" s="572"/>
      <c r="D19" s="8" t="s">
        <v>280</v>
      </c>
      <c r="E19" s="569" t="s">
        <v>281</v>
      </c>
      <c r="F19" s="569"/>
      <c r="G19" s="37" t="s">
        <v>282</v>
      </c>
      <c r="H19" s="5"/>
      <c r="I19" s="35"/>
    </row>
    <row r="20" spans="2:9" ht="20.100000000000001" customHeight="1">
      <c r="B20" s="568"/>
      <c r="C20" s="572"/>
      <c r="D20" s="8" t="s">
        <v>283</v>
      </c>
      <c r="E20" s="569" t="s">
        <v>284</v>
      </c>
      <c r="F20" s="569"/>
      <c r="G20" s="37"/>
      <c r="H20" s="5"/>
      <c r="I20" s="35"/>
    </row>
    <row r="21" spans="2:9" ht="20.100000000000001" customHeight="1">
      <c r="B21" s="568"/>
      <c r="C21" s="572"/>
      <c r="D21" s="8" t="s">
        <v>285</v>
      </c>
      <c r="E21" s="569" t="s">
        <v>286</v>
      </c>
      <c r="F21" s="569"/>
      <c r="G21" s="37"/>
      <c r="H21" s="5"/>
      <c r="I21" s="34"/>
    </row>
    <row r="22" spans="2:9" ht="20.100000000000001" customHeight="1">
      <c r="B22" s="41">
        <v>10</v>
      </c>
      <c r="C22" s="1" t="s">
        <v>14</v>
      </c>
      <c r="D22" s="8" t="s">
        <v>287</v>
      </c>
      <c r="E22" s="569" t="s">
        <v>288</v>
      </c>
      <c r="F22" s="569"/>
      <c r="G22" s="1"/>
      <c r="H22" s="1"/>
      <c r="I22" s="32"/>
    </row>
    <row r="23" spans="2:9" ht="20.100000000000001" customHeight="1">
      <c r="B23" s="41">
        <v>11</v>
      </c>
      <c r="C23" s="8" t="s">
        <v>17</v>
      </c>
      <c r="D23" s="8" t="s">
        <v>289</v>
      </c>
      <c r="E23" s="569" t="s">
        <v>290</v>
      </c>
      <c r="F23" s="569"/>
      <c r="G23" s="1"/>
      <c r="H23" s="1"/>
      <c r="I23" s="32"/>
    </row>
    <row r="24" spans="2:9" ht="20.100000000000001" customHeight="1">
      <c r="B24" s="41">
        <v>12</v>
      </c>
      <c r="C24" s="8" t="s">
        <v>18</v>
      </c>
      <c r="D24" s="8" t="s">
        <v>291</v>
      </c>
      <c r="E24" s="569" t="s">
        <v>292</v>
      </c>
      <c r="F24" s="569"/>
      <c r="G24" s="1"/>
      <c r="H24" s="36" t="s">
        <v>293</v>
      </c>
      <c r="I24" s="32"/>
    </row>
    <row r="25" spans="2:9" ht="20.100000000000001" customHeight="1">
      <c r="B25" s="41">
        <v>13</v>
      </c>
      <c r="C25" s="8" t="s">
        <v>19</v>
      </c>
      <c r="D25" s="8" t="s">
        <v>294</v>
      </c>
      <c r="E25" s="569" t="s">
        <v>295</v>
      </c>
      <c r="F25" s="569"/>
      <c r="G25" s="1"/>
      <c r="H25" s="43" t="s">
        <v>296</v>
      </c>
      <c r="I25" s="31"/>
    </row>
    <row r="26" spans="2:9" ht="20.100000000000001" customHeight="1">
      <c r="B26" s="41">
        <v>14</v>
      </c>
      <c r="C26" s="8" t="s">
        <v>297</v>
      </c>
      <c r="D26" s="8" t="s">
        <v>298</v>
      </c>
      <c r="E26" s="569" t="s">
        <v>299</v>
      </c>
      <c r="F26" s="569"/>
      <c r="G26" s="1"/>
      <c r="H26" s="44" t="s">
        <v>300</v>
      </c>
      <c r="I26" s="31"/>
    </row>
    <row r="27" spans="2:9" ht="20.100000000000001" customHeight="1">
      <c r="B27" s="41">
        <v>15</v>
      </c>
      <c r="C27" s="8" t="s">
        <v>301</v>
      </c>
      <c r="D27" s="8" t="s">
        <v>302</v>
      </c>
      <c r="E27" s="569" t="s">
        <v>303</v>
      </c>
      <c r="F27" s="569"/>
      <c r="G27" s="1"/>
      <c r="H27" s="36" t="s">
        <v>304</v>
      </c>
      <c r="I27" s="32"/>
    </row>
    <row r="28" spans="2:9" ht="20.100000000000001" customHeight="1">
      <c r="B28" s="568">
        <v>16</v>
      </c>
      <c r="C28" s="573" t="s">
        <v>21</v>
      </c>
      <c r="D28" s="8" t="s">
        <v>305</v>
      </c>
      <c r="E28" s="569" t="s">
        <v>306</v>
      </c>
      <c r="F28" s="569"/>
      <c r="G28" s="1"/>
      <c r="H28" s="36" t="s">
        <v>307</v>
      </c>
      <c r="I28" s="32"/>
    </row>
    <row r="29" spans="2:9" ht="20.100000000000001" customHeight="1">
      <c r="B29" s="568"/>
      <c r="C29" s="573"/>
      <c r="D29" s="8" t="s">
        <v>256</v>
      </c>
      <c r="E29" s="569" t="s">
        <v>308</v>
      </c>
      <c r="F29" s="569"/>
      <c r="G29" s="37" t="s">
        <v>309</v>
      </c>
      <c r="H29" s="1"/>
      <c r="I29" s="32"/>
    </row>
    <row r="30" spans="2:9" ht="20.100000000000001" customHeight="1">
      <c r="B30" s="568">
        <v>17</v>
      </c>
      <c r="C30" s="572" t="s">
        <v>310</v>
      </c>
      <c r="D30" s="8" t="s">
        <v>311</v>
      </c>
      <c r="E30" s="569" t="s">
        <v>312</v>
      </c>
      <c r="F30" s="569"/>
      <c r="G30" s="37" t="s">
        <v>313</v>
      </c>
      <c r="H30" s="1"/>
      <c r="I30" s="32"/>
    </row>
    <row r="31" spans="2:9" ht="20.100000000000001" customHeight="1">
      <c r="B31" s="568"/>
      <c r="C31" s="573"/>
      <c r="D31" s="8" t="s">
        <v>314</v>
      </c>
      <c r="E31" s="569" t="s">
        <v>315</v>
      </c>
      <c r="F31" s="569"/>
      <c r="G31" s="37" t="s">
        <v>316</v>
      </c>
      <c r="H31" s="1"/>
      <c r="I31" s="32"/>
    </row>
    <row r="32" spans="2:9" ht="20.100000000000001" customHeight="1">
      <c r="B32" s="568">
        <v>18</v>
      </c>
      <c r="C32" s="573" t="s">
        <v>317</v>
      </c>
      <c r="D32" s="8" t="s">
        <v>294</v>
      </c>
      <c r="E32" s="569" t="s">
        <v>318</v>
      </c>
      <c r="F32" s="569"/>
      <c r="G32" s="8"/>
      <c r="H32" s="1"/>
      <c r="I32" s="32"/>
    </row>
    <row r="33" spans="2:9" ht="20.100000000000001" customHeight="1">
      <c r="B33" s="568"/>
      <c r="C33" s="573"/>
      <c r="D33" s="8" t="s">
        <v>287</v>
      </c>
      <c r="E33" s="569" t="s">
        <v>319</v>
      </c>
      <c r="F33" s="569"/>
      <c r="G33" s="8"/>
      <c r="H33" s="1"/>
      <c r="I33" s="32"/>
    </row>
    <row r="34" spans="2:9" ht="20.100000000000001" customHeight="1">
      <c r="B34" s="568">
        <v>19</v>
      </c>
      <c r="C34" s="572" t="s">
        <v>320</v>
      </c>
      <c r="D34" s="8" t="s">
        <v>321</v>
      </c>
      <c r="E34" s="569" t="s">
        <v>322</v>
      </c>
      <c r="F34" s="569"/>
      <c r="G34" s="8"/>
      <c r="H34" s="1"/>
      <c r="I34" s="32"/>
    </row>
    <row r="35" spans="2:9" ht="19.5" customHeight="1">
      <c r="B35" s="568"/>
      <c r="C35" s="572"/>
      <c r="D35" s="8" t="s">
        <v>323</v>
      </c>
      <c r="E35" s="569" t="s">
        <v>324</v>
      </c>
      <c r="F35" s="569"/>
      <c r="G35" s="8"/>
      <c r="H35" s="1"/>
      <c r="I35" s="32"/>
    </row>
    <row r="36" spans="2:9" ht="19.5" customHeight="1">
      <c r="B36" s="41">
        <v>20</v>
      </c>
      <c r="C36" s="8" t="s">
        <v>325</v>
      </c>
      <c r="D36" s="8" t="s">
        <v>294</v>
      </c>
      <c r="E36" s="569" t="s">
        <v>326</v>
      </c>
      <c r="F36" s="569"/>
      <c r="G36" s="8"/>
      <c r="H36" s="1"/>
      <c r="I36" s="32"/>
    </row>
    <row r="37" spans="2:9" ht="19.5" customHeight="1">
      <c r="B37" s="568">
        <v>21</v>
      </c>
      <c r="C37" s="8" t="s">
        <v>327</v>
      </c>
      <c r="D37" s="8"/>
      <c r="E37" s="569" t="s">
        <v>328</v>
      </c>
      <c r="F37" s="569"/>
      <c r="G37" s="37" t="s">
        <v>329</v>
      </c>
      <c r="H37" s="570" t="s">
        <v>330</v>
      </c>
      <c r="I37" s="32"/>
    </row>
    <row r="38" spans="2:9" ht="20.100000000000001" customHeight="1">
      <c r="B38" s="568"/>
      <c r="C38" s="572" t="s">
        <v>331</v>
      </c>
      <c r="D38" s="8" t="s">
        <v>332</v>
      </c>
      <c r="E38" s="569" t="s">
        <v>333</v>
      </c>
      <c r="F38" s="569"/>
      <c r="G38" s="37" t="s">
        <v>334</v>
      </c>
      <c r="H38" s="571"/>
      <c r="I38" s="32"/>
    </row>
    <row r="39" spans="2:9" ht="20.100000000000001" customHeight="1">
      <c r="B39" s="568"/>
      <c r="C39" s="572"/>
      <c r="D39" s="8" t="s">
        <v>276</v>
      </c>
      <c r="E39" s="569" t="s">
        <v>335</v>
      </c>
      <c r="F39" s="569"/>
      <c r="G39" s="8"/>
      <c r="H39" s="571"/>
      <c r="I39" s="32"/>
    </row>
    <row r="40" spans="2:9" ht="20.100000000000001" customHeight="1">
      <c r="B40" s="568"/>
      <c r="C40" s="572"/>
      <c r="D40" s="8" t="s">
        <v>336</v>
      </c>
      <c r="E40" s="569" t="s">
        <v>337</v>
      </c>
      <c r="F40" s="569"/>
      <c r="G40" s="8"/>
      <c r="H40" s="571"/>
      <c r="I40" s="32"/>
    </row>
  </sheetData>
  <mergeCells count="64">
    <mergeCell ref="B5:B6"/>
    <mergeCell ref="C5:C6"/>
    <mergeCell ref="E5:F5"/>
    <mergeCell ref="H5:H6"/>
    <mergeCell ref="E2:F2"/>
    <mergeCell ref="B3:B4"/>
    <mergeCell ref="C3:C4"/>
    <mergeCell ref="E3:F3"/>
    <mergeCell ref="H3:H4"/>
    <mergeCell ref="E7:F7"/>
    <mergeCell ref="E8:F8"/>
    <mergeCell ref="B9:B11"/>
    <mergeCell ref="C9:C11"/>
    <mergeCell ref="E9:F9"/>
    <mergeCell ref="E10:F10"/>
    <mergeCell ref="B12:B14"/>
    <mergeCell ref="C12:C14"/>
    <mergeCell ref="E12:F12"/>
    <mergeCell ref="E13:F13"/>
    <mergeCell ref="G13:G14"/>
    <mergeCell ref="E14:F14"/>
    <mergeCell ref="E22:F22"/>
    <mergeCell ref="E23:F23"/>
    <mergeCell ref="E24:F24"/>
    <mergeCell ref="G10:G11"/>
    <mergeCell ref="E11:F11"/>
    <mergeCell ref="B18:B21"/>
    <mergeCell ref="C18:C21"/>
    <mergeCell ref="E18:F18"/>
    <mergeCell ref="E19:F19"/>
    <mergeCell ref="E20:F20"/>
    <mergeCell ref="E21:F21"/>
    <mergeCell ref="B15:B16"/>
    <mergeCell ref="C15:C16"/>
    <mergeCell ref="E15:F15"/>
    <mergeCell ref="E16:F16"/>
    <mergeCell ref="E17:F17"/>
    <mergeCell ref="E25:F25"/>
    <mergeCell ref="B28:B29"/>
    <mergeCell ref="C28:C29"/>
    <mergeCell ref="E28:F28"/>
    <mergeCell ref="E29:F29"/>
    <mergeCell ref="E27:F27"/>
    <mergeCell ref="E26:F26"/>
    <mergeCell ref="B32:B33"/>
    <mergeCell ref="C32:C33"/>
    <mergeCell ref="E32:F32"/>
    <mergeCell ref="E33:F33"/>
    <mergeCell ref="B30:B31"/>
    <mergeCell ref="C30:C31"/>
    <mergeCell ref="E30:F30"/>
    <mergeCell ref="E31:F31"/>
    <mergeCell ref="B34:B35"/>
    <mergeCell ref="C34:C35"/>
    <mergeCell ref="E34:F34"/>
    <mergeCell ref="E35:F35"/>
    <mergeCell ref="E36:F36"/>
    <mergeCell ref="B37:B40"/>
    <mergeCell ref="E37:F37"/>
    <mergeCell ref="H37:H40"/>
    <mergeCell ref="C38:C40"/>
    <mergeCell ref="E38:F38"/>
    <mergeCell ref="E39:F39"/>
    <mergeCell ref="E40:F40"/>
  </mergeCells>
  <hyperlinks>
    <hyperlink ref="E3" r:id="rId1" location="direct" display="ISO 15009: 2012"/>
    <hyperlink ref="E11" r:id="rId2"/>
    <hyperlink ref="E13" r:id="rId3"/>
    <hyperlink ref="E14" r:id="rId4"/>
    <hyperlink ref="G3" r:id="rId5"/>
    <hyperlink ref="G5" r:id="rId6"/>
    <hyperlink ref="G9" r:id="rId7" display="S.II.1"/>
    <hyperlink ref="G13:G14" r:id="rId8" display="S.II.2.1"/>
    <hyperlink ref="G10:G11" r:id="rId9" display="S-II-2.2"/>
    <hyperlink ref="E7" r:id="rId10"/>
    <hyperlink ref="E8" r:id="rId11" location="direct"/>
    <hyperlink ref="G19" r:id="rId12"/>
    <hyperlink ref="G17" r:id="rId13"/>
    <hyperlink ref="E19" r:id="rId14"/>
    <hyperlink ref="E9" r:id="rId15" location="direct" display="NF EN 16174 "/>
    <hyperlink ref="G18" r:id="rId16" display="S.II.1"/>
    <hyperlink ref="G12" r:id="rId17" display="S.II.1"/>
    <hyperlink ref="E25" r:id="rId18"/>
    <hyperlink ref="E27" r:id="rId19" location="direct" display="CEN/TS 16190"/>
    <hyperlink ref="E26" r:id="rId20" location="direct"/>
    <hyperlink ref="E12" r:id="rId21" location="direct" display="NF EN 16174 "/>
    <hyperlink ref="E18" r:id="rId22" location="direct" display="NF EN 16174 "/>
    <hyperlink ref="E22" r:id="rId23" location="direct"/>
    <hyperlink ref="E5" r:id="rId24"/>
    <hyperlink ref="E28" r:id="rId25"/>
    <hyperlink ref="E29" r:id="rId26"/>
    <hyperlink ref="E17" r:id="rId27"/>
    <hyperlink ref="E23" r:id="rId28"/>
    <hyperlink ref="G15" r:id="rId29" display="S.II.1"/>
    <hyperlink ref="E15" r:id="rId30" location="direct" display="NF EN 16174 "/>
    <hyperlink ref="E36" r:id="rId31"/>
    <hyperlink ref="E21" r:id="rId32" location="direct"/>
    <hyperlink ref="E20" r:id="rId33"/>
    <hyperlink ref="E16" r:id="rId34" location="direct"/>
    <hyperlink ref="E34" r:id="rId35"/>
    <hyperlink ref="E35" r:id="rId36"/>
    <hyperlink ref="E32" r:id="rId37"/>
    <hyperlink ref="E33" r:id="rId38"/>
    <hyperlink ref="E30" r:id="rId39"/>
    <hyperlink ref="E31" r:id="rId40" location="direct"/>
    <hyperlink ref="E24" r:id="rId41" display="https://www.epa.gov/sites/production/files/2015-12/documents/8141b.pdf"/>
    <hyperlink ref="E37" r:id="rId42"/>
    <hyperlink ref="E39" r:id="rId43" location="direct" display="ISO 10304-1"/>
    <hyperlink ref="E38:F38" r:id="rId44" display="NBN EN 12457-2"/>
    <hyperlink ref="E10:F10" r:id="rId45" location="direct" display="NBN EN 16170 : 2016"/>
    <hyperlink ref="G30" r:id="rId46"/>
    <hyperlink ref="G31" r:id="rId47"/>
    <hyperlink ref="G29" r:id="rId48"/>
    <hyperlink ref="G37" r:id="rId49"/>
    <hyperlink ref="G38" r:id="rId50"/>
    <hyperlink ref="E40:F40" r:id="rId51" display="ISO 10359-1 : 1992"/>
    <hyperlink ref="E4" r:id="rId52" display="EPA 5035A et EPA 8260C"/>
    <hyperlink ref="F4" r:id="rId53"/>
    <hyperlink ref="E6" r:id="rId54"/>
    <hyperlink ref="F6" r:id="rId55"/>
  </hyperlinks>
  <pageMargins left="0.70866141732283472" right="0.70866141732283472" top="0.74803149606299213" bottom="0.74803149606299213" header="0.31496062992125984" footer="0.31496062992125984"/>
  <pageSetup paperSize="9" scale="59" orientation="landscape" r:id="rId56"/>
  <headerFooter>
    <oddHeader>&amp;CListe méthodes et familles</oddHeader>
    <oddFooter>&amp;L&amp;F&amp;R&amp;D</oddFooter>
  </headerFooter>
</worksheet>
</file>

<file path=xl/worksheets/sheet6.xml><?xml version="1.0" encoding="utf-8"?>
<worksheet xmlns="http://schemas.openxmlformats.org/spreadsheetml/2006/main" xmlns:r="http://schemas.openxmlformats.org/officeDocument/2006/relationships">
  <sheetPr>
    <tabColor theme="3"/>
  </sheetPr>
  <dimension ref="A2:P265"/>
  <sheetViews>
    <sheetView view="pageBreakPreview" zoomScale="75" zoomScaleNormal="60" zoomScaleSheetLayoutView="75" workbookViewId="0">
      <pane ySplit="3" topLeftCell="A4" activePane="bottomLeft" state="frozen"/>
      <selection pane="bottomLeft" activeCell="F24" sqref="F24"/>
    </sheetView>
  </sheetViews>
  <sheetFormatPr baseColWidth="10" defaultRowHeight="15"/>
  <cols>
    <col min="1" max="1" width="4.28515625" customWidth="1"/>
    <col min="2" max="2" width="18.28515625" style="506" customWidth="1"/>
    <col min="3" max="3" width="15.42578125" style="506" customWidth="1"/>
    <col min="4" max="4" width="38.7109375" style="519" customWidth="1"/>
    <col min="5" max="5" width="20.7109375" style="113" customWidth="1"/>
    <col min="6" max="6" width="20.7109375" style="382" customWidth="1"/>
    <col min="7" max="14" width="20.7109375" style="113" customWidth="1"/>
    <col min="15" max="15" width="148" style="114" customWidth="1"/>
    <col min="16" max="16" width="4.5703125" style="113" customWidth="1"/>
  </cols>
  <sheetData>
    <row r="2" spans="2:16" ht="278.25" customHeight="1">
      <c r="B2" s="583" t="s">
        <v>1966</v>
      </c>
      <c r="C2" s="584"/>
      <c r="D2" s="584"/>
      <c r="E2" s="584"/>
      <c r="F2" s="584"/>
      <c r="G2" s="584"/>
      <c r="H2" s="584"/>
      <c r="I2" s="584"/>
      <c r="J2" s="584"/>
      <c r="K2" s="584"/>
      <c r="L2" s="584"/>
      <c r="M2" s="585"/>
      <c r="N2" s="83"/>
      <c r="O2" s="83"/>
      <c r="P2" s="84"/>
    </row>
    <row r="3" spans="2:16" ht="141.6" customHeight="1">
      <c r="B3" s="85" t="s">
        <v>459</v>
      </c>
      <c r="C3" s="85" t="s">
        <v>47</v>
      </c>
      <c r="D3" s="515" t="s">
        <v>505</v>
      </c>
      <c r="E3" s="87" t="s">
        <v>506</v>
      </c>
      <c r="F3" s="87" t="s">
        <v>1601</v>
      </c>
      <c r="G3" s="87" t="s">
        <v>507</v>
      </c>
      <c r="H3" s="87" t="s">
        <v>508</v>
      </c>
      <c r="I3" s="87" t="s">
        <v>509</v>
      </c>
      <c r="J3" s="78" t="s">
        <v>510</v>
      </c>
      <c r="K3" s="88" t="s">
        <v>511</v>
      </c>
      <c r="L3" s="88" t="s">
        <v>1522</v>
      </c>
      <c r="M3" s="78" t="s">
        <v>1506</v>
      </c>
      <c r="N3" s="78" t="s">
        <v>512</v>
      </c>
      <c r="O3" s="78" t="s">
        <v>513</v>
      </c>
      <c r="P3" s="84"/>
    </row>
    <row r="4" spans="2:16">
      <c r="B4" s="177">
        <v>1</v>
      </c>
      <c r="C4" s="390" t="s">
        <v>199</v>
      </c>
      <c r="D4" s="454" t="s">
        <v>1732</v>
      </c>
      <c r="E4" s="90">
        <f>'[3]VLH - détail'!F5</f>
        <v>262368.81559220387</v>
      </c>
      <c r="F4" s="90"/>
      <c r="G4" s="96">
        <f>'[3]VLH - détail'!I5</f>
        <v>147780.22704193546</v>
      </c>
      <c r="H4" s="96">
        <f>'[3]VLH - détail'!O5</f>
        <v>262368.81559220387</v>
      </c>
      <c r="I4" s="96">
        <f>'[3]VLH - détail'!P5</f>
        <v>1000000</v>
      </c>
      <c r="J4" s="51">
        <f>'[3]VLnappe - détail'!R3</f>
        <v>200</v>
      </c>
      <c r="K4" s="351">
        <v>6750</v>
      </c>
      <c r="L4" s="327"/>
      <c r="M4" s="51" t="s">
        <v>514</v>
      </c>
      <c r="N4" s="51">
        <f>J4*2</f>
        <v>400</v>
      </c>
      <c r="O4" s="93"/>
      <c r="P4" s="94"/>
    </row>
    <row r="5" spans="2:16">
      <c r="B5" s="177">
        <v>2</v>
      </c>
      <c r="C5" s="390" t="s">
        <v>201</v>
      </c>
      <c r="D5" s="454" t="s">
        <v>1735</v>
      </c>
      <c r="E5" s="90">
        <f>'[3]VLH - détail'!F6</f>
        <v>104.5060781481523</v>
      </c>
      <c r="F5" s="90"/>
      <c r="G5" s="96">
        <f>'[3]VLH - détail'!I6</f>
        <v>60.051292974907334</v>
      </c>
      <c r="H5" s="96">
        <f>'[3]VLH - détail'!O6</f>
        <v>104.5060781481523</v>
      </c>
      <c r="I5" s="96">
        <f>'[3]VLH - détail'!P6</f>
        <v>585.62091503267982</v>
      </c>
      <c r="J5" s="51">
        <f>'[3]VLnappe - détail'!R4</f>
        <v>5</v>
      </c>
      <c r="K5" s="351">
        <v>5.0625</v>
      </c>
      <c r="L5" s="327"/>
      <c r="M5" s="51" t="s">
        <v>514</v>
      </c>
      <c r="N5" s="51">
        <f t="shared" ref="N5:N16" si="0">J5*2</f>
        <v>10</v>
      </c>
      <c r="O5" s="93"/>
      <c r="P5" s="94"/>
    </row>
    <row r="6" spans="2:16">
      <c r="B6" s="177">
        <v>3</v>
      </c>
      <c r="C6" s="390" t="s">
        <v>203</v>
      </c>
      <c r="D6" s="454" t="s">
        <v>1740</v>
      </c>
      <c r="E6" s="90">
        <f>'[3]VLH - détail'!F7</f>
        <v>36890.645586297767</v>
      </c>
      <c r="F6" s="90"/>
      <c r="G6" s="96">
        <f>'[3]VLH - détail'!I7</f>
        <v>7533.7810763568032</v>
      </c>
      <c r="H6" s="96">
        <f>'[3]VLH - détail'!O7</f>
        <v>36890.645586297767</v>
      </c>
      <c r="I6" s="96">
        <f>'[3]VLH - détail'!P7</f>
        <v>42911.877394636016</v>
      </c>
      <c r="J6" s="51">
        <f>'[3]VLnappe - détail'!R5</f>
        <v>700</v>
      </c>
      <c r="K6" s="351">
        <v>645.75</v>
      </c>
      <c r="L6" s="327"/>
      <c r="M6" s="51" t="s">
        <v>514</v>
      </c>
      <c r="N6" s="51">
        <f t="shared" si="0"/>
        <v>1400</v>
      </c>
      <c r="O6" s="93"/>
      <c r="P6" s="94"/>
    </row>
    <row r="7" spans="2:16">
      <c r="B7" s="177">
        <v>4</v>
      </c>
      <c r="C7" s="390" t="s">
        <v>204</v>
      </c>
      <c r="D7" s="454" t="s">
        <v>1742</v>
      </c>
      <c r="E7" s="90">
        <f>'[3]VLH - détail'!F8</f>
        <v>327.25572697522205</v>
      </c>
      <c r="F7" s="90"/>
      <c r="G7" s="96">
        <f>'[3]VLH - détail'!I8</f>
        <v>122.10012210012211</v>
      </c>
      <c r="H7" s="96">
        <f>'[3]VLH - détail'!O8</f>
        <v>313.34932054356511</v>
      </c>
      <c r="I7" s="96">
        <f>'[3]VLH - détail'!P8</f>
        <v>313.34932054356511</v>
      </c>
      <c r="J7" s="51">
        <f>'[3]VLnappe - détail'!R6</f>
        <v>4</v>
      </c>
      <c r="K7" s="351">
        <v>71.099999999999994</v>
      </c>
      <c r="L7" s="327"/>
      <c r="M7" s="51" t="s">
        <v>514</v>
      </c>
      <c r="N7" s="51">
        <f t="shared" si="0"/>
        <v>8</v>
      </c>
      <c r="O7" s="93"/>
      <c r="P7" s="94"/>
    </row>
    <row r="8" spans="2:16">
      <c r="B8" s="177">
        <v>5</v>
      </c>
      <c r="C8" s="390" t="s">
        <v>205</v>
      </c>
      <c r="D8" s="454" t="s">
        <v>1773</v>
      </c>
      <c r="E8" s="90">
        <f>'[3]VLH - détail'!F9</f>
        <v>356.76710752887811</v>
      </c>
      <c r="F8" s="90"/>
      <c r="G8" s="96">
        <f>'[3]VLH - détail'!I9</f>
        <v>171.94583059675008</v>
      </c>
      <c r="H8" s="96">
        <f>'[3]VLH - détail'!O9</f>
        <v>356.76710752887811</v>
      </c>
      <c r="I8" s="96">
        <f>'[3]VLH - détail'!P9</f>
        <v>1514.9758454106279</v>
      </c>
      <c r="J8" s="51">
        <f>'[3]VLnappe - détail'!R7</f>
        <v>100</v>
      </c>
      <c r="K8" s="351">
        <v>101.25</v>
      </c>
      <c r="L8" s="327"/>
      <c r="M8" s="51" t="s">
        <v>514</v>
      </c>
      <c r="N8" s="51">
        <f t="shared" si="0"/>
        <v>200</v>
      </c>
      <c r="O8" s="93"/>
      <c r="P8" s="94"/>
    </row>
    <row r="9" spans="2:16">
      <c r="B9" s="177">
        <v>6</v>
      </c>
      <c r="C9" s="95" t="s">
        <v>206</v>
      </c>
      <c r="D9" s="454" t="s">
        <v>1820</v>
      </c>
      <c r="E9" s="90">
        <f>'[3]VLH - détail'!F10</f>
        <v>52473.76311844078</v>
      </c>
      <c r="F9" s="90"/>
      <c r="G9" s="96">
        <f>'[3]VLH - détail'!I10</f>
        <v>34072.379310344826</v>
      </c>
      <c r="H9" s="96">
        <f>'[3]VLH - détail'!O10</f>
        <v>52473.76311844078</v>
      </c>
      <c r="I9" s="96">
        <f>'[3]VLH - détail'!P10</f>
        <v>311111.11111111112</v>
      </c>
      <c r="J9" s="51">
        <f>'[3]VLnappe - détail'!R8</f>
        <v>12000</v>
      </c>
      <c r="K9" s="351">
        <v>67500</v>
      </c>
      <c r="L9" s="327"/>
      <c r="M9" s="51" t="s">
        <v>514</v>
      </c>
      <c r="N9" s="51">
        <f t="shared" si="0"/>
        <v>24000</v>
      </c>
      <c r="O9" s="93"/>
      <c r="P9" s="94"/>
    </row>
    <row r="10" spans="2:16">
      <c r="B10" s="177">
        <v>7</v>
      </c>
      <c r="C10" s="390" t="s">
        <v>207</v>
      </c>
      <c r="D10" s="454" t="s">
        <v>1848</v>
      </c>
      <c r="E10" s="90">
        <f>'[3]VLH - détail'!F11</f>
        <v>8533.1166192604633</v>
      </c>
      <c r="F10" s="90"/>
      <c r="G10" s="96">
        <f>'[3]VLH - détail'!I11</f>
        <v>2252.079123829491</v>
      </c>
      <c r="H10" s="96">
        <f>'[3]VLH - détail'!O11</f>
        <v>6913.5802469135797</v>
      </c>
      <c r="I10" s="96">
        <f>'[3]VLH - détail'!P11</f>
        <v>6913.5802469135797</v>
      </c>
      <c r="J10" s="51">
        <f>'[3]VLnappe - détail'!R9</f>
        <v>400</v>
      </c>
      <c r="K10" s="351">
        <v>585</v>
      </c>
      <c r="L10" s="327"/>
      <c r="M10" s="51" t="s">
        <v>514</v>
      </c>
      <c r="N10" s="51">
        <f t="shared" si="0"/>
        <v>800</v>
      </c>
      <c r="O10" s="93"/>
      <c r="P10" s="94"/>
    </row>
    <row r="11" spans="2:16">
      <c r="B11" s="177">
        <v>8</v>
      </c>
      <c r="C11" s="390" t="s">
        <v>208</v>
      </c>
      <c r="D11" s="454" t="s">
        <v>1865</v>
      </c>
      <c r="E11" s="90">
        <f>'[3]VLH - détail'!F12</f>
        <v>1310.6906325408595</v>
      </c>
      <c r="F11" s="90"/>
      <c r="G11" s="96">
        <f>'[3]VLH - détail'!I12</f>
        <v>8.7898803933687333</v>
      </c>
      <c r="H11" s="96">
        <f>'[3]VLH - détail'!O12</f>
        <v>1310.6906325408595</v>
      </c>
      <c r="I11" s="96">
        <f>'[3]VLH - détail'!P12</f>
        <v>7677.8063410454151</v>
      </c>
      <c r="J11" s="51">
        <f>'[3]VLnappe - détail'!R10</f>
        <v>300</v>
      </c>
      <c r="K11" s="351">
        <v>135</v>
      </c>
      <c r="L11" s="327"/>
      <c r="M11" s="51" t="s">
        <v>514</v>
      </c>
      <c r="N11" s="51">
        <f t="shared" si="0"/>
        <v>600</v>
      </c>
      <c r="O11" s="93"/>
      <c r="P11" s="94"/>
    </row>
    <row r="12" spans="2:16">
      <c r="B12" s="177">
        <v>9</v>
      </c>
      <c r="C12" s="390" t="s">
        <v>209</v>
      </c>
      <c r="D12" s="454" t="s">
        <v>1914</v>
      </c>
      <c r="E12" s="90">
        <f>'[3]VLH - détail'!F13</f>
        <v>1311.8440779610196</v>
      </c>
      <c r="F12" s="90"/>
      <c r="G12" s="96">
        <f>'[3]VLH - détail'!I13</f>
        <v>48.192947773836408</v>
      </c>
      <c r="H12" s="96">
        <f>'[3]VLH - détail'!O13</f>
        <v>1311.8440779610196</v>
      </c>
      <c r="I12" s="96">
        <f>'[3]VLH - détail'!P13</f>
        <v>7777.7777777777774</v>
      </c>
      <c r="J12" s="51">
        <f>'[3]VLnappe - détail'!R11</f>
        <v>10</v>
      </c>
      <c r="K12" s="351">
        <v>1.125</v>
      </c>
      <c r="L12" s="327"/>
      <c r="M12" s="51" t="s">
        <v>514</v>
      </c>
      <c r="N12" s="51">
        <f t="shared" si="0"/>
        <v>20</v>
      </c>
      <c r="O12" s="93"/>
      <c r="P12" s="94"/>
    </row>
    <row r="13" spans="2:16" ht="30">
      <c r="B13" s="177">
        <v>10</v>
      </c>
      <c r="C13" s="390" t="s">
        <v>211</v>
      </c>
      <c r="D13" s="454" t="s">
        <v>1933</v>
      </c>
      <c r="E13" s="90">
        <f>'[3]VLH - détail'!F14</f>
        <v>787106.44677661173</v>
      </c>
      <c r="F13" s="90"/>
      <c r="G13" s="96">
        <f>'[3]VLH - détail'!I14</f>
        <v>248.59103296351958</v>
      </c>
      <c r="H13" s="96">
        <f>'[3]VLH - détail'!O14</f>
        <v>787106.44677661173</v>
      </c>
      <c r="I13" s="96">
        <f>'[3]VLH - détail'!P14</f>
        <v>1000000</v>
      </c>
      <c r="J13" s="51">
        <f>'[3]VLnappe - détail'!R12</f>
        <v>18000</v>
      </c>
      <c r="K13" s="352" t="s">
        <v>515</v>
      </c>
      <c r="L13" s="329" t="s">
        <v>1523</v>
      </c>
      <c r="M13" s="51" t="s">
        <v>514</v>
      </c>
      <c r="N13" s="51">
        <f t="shared" si="0"/>
        <v>36000</v>
      </c>
      <c r="O13" s="93"/>
      <c r="P13" s="94"/>
    </row>
    <row r="14" spans="2:16">
      <c r="B14" s="177">
        <v>11</v>
      </c>
      <c r="C14" s="95" t="s">
        <v>212</v>
      </c>
      <c r="D14" s="454" t="s">
        <v>1937</v>
      </c>
      <c r="E14" s="90">
        <f>'[3]VLH - détail'!F15</f>
        <v>2317.2712108477717</v>
      </c>
      <c r="F14" s="90"/>
      <c r="G14" s="96">
        <f>'[3]VLH - détail'!I15</f>
        <v>127.23937117690157</v>
      </c>
      <c r="H14" s="96">
        <f>'[3]VLH - détail'!O15</f>
        <v>2317.2712108477717</v>
      </c>
      <c r="I14" s="96">
        <f>'[3]VLH - détail'!P15</f>
        <v>10926.829268292682</v>
      </c>
      <c r="J14" s="51">
        <f>'[3]VLnappe - détail'!R13</f>
        <v>50</v>
      </c>
      <c r="K14" s="352">
        <v>1125</v>
      </c>
      <c r="L14" s="328"/>
      <c r="M14" s="51" t="s">
        <v>514</v>
      </c>
      <c r="N14" s="51">
        <f t="shared" si="0"/>
        <v>100</v>
      </c>
      <c r="O14" s="93"/>
      <c r="P14" s="94"/>
    </row>
    <row r="15" spans="2:16" ht="33.75" customHeight="1">
      <c r="B15" s="177">
        <v>12</v>
      </c>
      <c r="C15" s="394" t="s">
        <v>346</v>
      </c>
      <c r="D15" s="454" t="s">
        <v>1620</v>
      </c>
      <c r="E15" s="395">
        <v>393.6</v>
      </c>
      <c r="F15" s="395">
        <v>0.2046</v>
      </c>
      <c r="G15" s="395">
        <v>0.21909999999999999</v>
      </c>
      <c r="H15" s="395">
        <v>1.99</v>
      </c>
      <c r="I15" s="395">
        <v>1.99</v>
      </c>
      <c r="J15" s="51">
        <f>'[3]VLnappe - détail'!R14</f>
        <v>330</v>
      </c>
      <c r="K15" s="352">
        <v>4.1147</v>
      </c>
      <c r="L15" s="97"/>
      <c r="M15" s="51">
        <v>484.4</v>
      </c>
      <c r="N15" s="51">
        <f t="shared" si="0"/>
        <v>660</v>
      </c>
      <c r="O15" s="325"/>
      <c r="P15" s="94"/>
    </row>
    <row r="16" spans="2:16" ht="60" customHeight="1">
      <c r="B16" s="177">
        <v>13</v>
      </c>
      <c r="C16" s="48" t="s">
        <v>517</v>
      </c>
      <c r="D16" s="454" t="s">
        <v>1893</v>
      </c>
      <c r="E16" s="90">
        <f>'[3]VLH - détail'!F17</f>
        <v>2.292976098775108</v>
      </c>
      <c r="F16" s="90"/>
      <c r="G16" s="96">
        <f>'[3]VLH - détail'!I17</f>
        <v>0.24</v>
      </c>
      <c r="H16" s="96">
        <f>'[3]VLH - détail'!O17</f>
        <v>1.9708711540172672</v>
      </c>
      <c r="I16" s="96">
        <f>'[3]VLH - détail'!P17</f>
        <v>8.938334094015369</v>
      </c>
      <c r="J16" s="51">
        <f>'[3]VLnappe - détail'!R15</f>
        <v>0.1</v>
      </c>
      <c r="K16" s="546">
        <v>0.87090000000000001</v>
      </c>
      <c r="L16" s="97"/>
      <c r="M16" s="52" t="s">
        <v>518</v>
      </c>
      <c r="N16" s="51">
        <f t="shared" si="0"/>
        <v>0.2</v>
      </c>
      <c r="O16" s="93" t="s">
        <v>1529</v>
      </c>
      <c r="P16" s="94"/>
    </row>
    <row r="17" spans="2:16">
      <c r="B17" s="177">
        <v>14</v>
      </c>
      <c r="C17" s="390" t="s">
        <v>67</v>
      </c>
      <c r="D17" s="454" t="s">
        <v>1765</v>
      </c>
      <c r="E17" s="429">
        <v>297.5</v>
      </c>
      <c r="F17" s="429">
        <v>0.20569999999999999</v>
      </c>
      <c r="G17" s="429">
        <v>0.20669999999999999</v>
      </c>
      <c r="H17" s="429">
        <v>2.359</v>
      </c>
      <c r="I17" s="429">
        <v>2.4119999999999999</v>
      </c>
      <c r="J17" s="51">
        <f>'[3]VLnappe - détail'!R16</f>
        <v>300</v>
      </c>
      <c r="K17" s="546">
        <v>12.3591</v>
      </c>
      <c r="L17" s="97"/>
      <c r="M17" s="338">
        <v>300</v>
      </c>
      <c r="N17" s="330">
        <f>J17*2</f>
        <v>600</v>
      </c>
      <c r="O17" s="98"/>
      <c r="P17" s="94"/>
    </row>
    <row r="18" spans="2:16">
      <c r="B18" s="177">
        <v>15</v>
      </c>
      <c r="C18" s="390" t="s">
        <v>72</v>
      </c>
      <c r="D18" s="454" t="s">
        <v>1632</v>
      </c>
      <c r="E18" s="429">
        <v>41140</v>
      </c>
      <c r="F18" s="429">
        <v>6.0119999999999996</v>
      </c>
      <c r="G18" s="429">
        <v>6.1029999999999998</v>
      </c>
      <c r="H18" s="429">
        <v>71.12</v>
      </c>
      <c r="I18" s="429">
        <v>72.53</v>
      </c>
      <c r="J18" s="51">
        <f>'[3]VLnappe - détail'!R17</f>
        <v>1000</v>
      </c>
      <c r="K18" s="549">
        <v>90.233934022580357</v>
      </c>
      <c r="L18" s="97"/>
      <c r="M18" s="338">
        <v>1518</v>
      </c>
      <c r="N18" s="330">
        <f t="shared" ref="N18:N71" si="1">J18*2</f>
        <v>2000</v>
      </c>
      <c r="O18" s="98"/>
      <c r="P18" s="94"/>
    </row>
    <row r="19" spans="2:16">
      <c r="B19" s="177">
        <v>16</v>
      </c>
      <c r="C19" s="390" t="s">
        <v>73</v>
      </c>
      <c r="D19" s="454" t="s">
        <v>1636</v>
      </c>
      <c r="E19" s="429">
        <v>195200</v>
      </c>
      <c r="F19" s="429">
        <v>10.78</v>
      </c>
      <c r="G19" s="429">
        <v>10.82</v>
      </c>
      <c r="H19" s="429">
        <v>123.3</v>
      </c>
      <c r="I19" s="429">
        <v>126.3</v>
      </c>
      <c r="J19" s="51">
        <f>'[3]VLnappe - détail'!R18</f>
        <v>1000</v>
      </c>
      <c r="K19" s="549">
        <v>148.7291342572062</v>
      </c>
      <c r="L19" s="97"/>
      <c r="M19" s="338">
        <v>1589</v>
      </c>
      <c r="N19" s="330">
        <f t="shared" si="1"/>
        <v>2000</v>
      </c>
      <c r="O19" s="98"/>
      <c r="P19" s="94"/>
    </row>
    <row r="20" spans="2:16">
      <c r="B20" s="177">
        <v>17</v>
      </c>
      <c r="C20" s="390" t="s">
        <v>74</v>
      </c>
      <c r="D20" s="454" t="s">
        <v>1637</v>
      </c>
      <c r="E20" s="429">
        <v>345.1</v>
      </c>
      <c r="F20" s="429">
        <v>0.31340000000000001</v>
      </c>
      <c r="G20" s="429">
        <v>0.36420000000000002</v>
      </c>
      <c r="H20" s="429">
        <v>3.9969999999999999</v>
      </c>
      <c r="I20" s="429">
        <v>3.9969999999999999</v>
      </c>
      <c r="J20" s="51">
        <f>'[3]VLnappe - détail'!R19</f>
        <v>300</v>
      </c>
      <c r="K20" s="549">
        <v>32.141332189650591</v>
      </c>
      <c r="L20" s="97"/>
      <c r="M20" s="338">
        <v>300</v>
      </c>
      <c r="N20" s="330">
        <f t="shared" si="1"/>
        <v>600</v>
      </c>
      <c r="O20" s="98"/>
      <c r="P20" s="94"/>
    </row>
    <row r="21" spans="2:16">
      <c r="B21" s="177">
        <v>18</v>
      </c>
      <c r="C21" s="390" t="s">
        <v>86</v>
      </c>
      <c r="D21" s="454" t="s">
        <v>1624</v>
      </c>
      <c r="E21" s="90">
        <f>'[3]VLH - détail'!F29</f>
        <v>126.90897660362084</v>
      </c>
      <c r="F21" s="90"/>
      <c r="G21" s="96">
        <f>'[3]VLH - détail'!I29</f>
        <v>0.27782633254375372</v>
      </c>
      <c r="H21" s="96">
        <f>'[3]VLH - détail'!O29</f>
        <v>21.690587696681281</v>
      </c>
      <c r="I21" s="96">
        <f>'[3]VLH - détail'!P29</f>
        <v>86.756843115663557</v>
      </c>
      <c r="J21" s="51">
        <f>'[3]VLnappe - détail'!R20</f>
        <v>7</v>
      </c>
      <c r="K21" s="546">
        <v>3.1913</v>
      </c>
      <c r="L21" s="97"/>
      <c r="M21" s="137">
        <v>9846.8737767848925</v>
      </c>
      <c r="N21" s="330">
        <f t="shared" si="1"/>
        <v>14</v>
      </c>
      <c r="O21" s="98"/>
      <c r="P21" s="94"/>
    </row>
    <row r="22" spans="2:16">
      <c r="B22" s="177">
        <v>19</v>
      </c>
      <c r="C22" s="390" t="s">
        <v>87</v>
      </c>
      <c r="D22" s="454" t="s">
        <v>1625</v>
      </c>
      <c r="E22" s="429">
        <v>766.9</v>
      </c>
      <c r="F22" s="429">
        <v>3.0449999999999999</v>
      </c>
      <c r="G22" s="429">
        <v>3.6389999999999998</v>
      </c>
      <c r="H22" s="429">
        <v>66.92</v>
      </c>
      <c r="I22" s="429">
        <v>66.92</v>
      </c>
      <c r="J22" s="51">
        <f>'[3]VLnappe - détail'!R21</f>
        <v>1.2</v>
      </c>
      <c r="K22" s="352">
        <v>0.39700000000000002</v>
      </c>
      <c r="L22" s="97"/>
      <c r="M22" s="338">
        <v>394</v>
      </c>
      <c r="N22" s="330">
        <f t="shared" si="1"/>
        <v>2.4</v>
      </c>
      <c r="O22" s="98"/>
      <c r="P22" s="94"/>
    </row>
    <row r="23" spans="2:16">
      <c r="B23" s="177">
        <v>20</v>
      </c>
      <c r="C23" s="390" t="s">
        <v>88</v>
      </c>
      <c r="D23" s="454" t="s">
        <v>1633</v>
      </c>
      <c r="E23" s="90">
        <f>'[3]VLH - détail'!F31</f>
        <v>147.84931461056794</v>
      </c>
      <c r="F23" s="90"/>
      <c r="G23" s="96">
        <f>'[3]VLH - détail'!I31</f>
        <v>0.40377287980398902</v>
      </c>
      <c r="H23" s="96">
        <f>'[3]VLH - détail'!O31</f>
        <v>21.255426013982952</v>
      </c>
      <c r="I23" s="96">
        <f>'[3]VLH - détail'!P31</f>
        <v>21.255426013982952</v>
      </c>
      <c r="J23" s="51">
        <v>9</v>
      </c>
      <c r="K23" s="352">
        <v>6.2</v>
      </c>
      <c r="L23" s="97"/>
      <c r="M23" s="137">
        <v>193.68739111467747</v>
      </c>
      <c r="N23" s="330" t="s">
        <v>515</v>
      </c>
      <c r="O23" s="98"/>
      <c r="P23" s="94"/>
    </row>
    <row r="24" spans="2:16">
      <c r="B24" s="177">
        <v>21</v>
      </c>
      <c r="C24" s="390" t="s">
        <v>116</v>
      </c>
      <c r="D24" s="454" t="s">
        <v>1622</v>
      </c>
      <c r="E24" s="429">
        <v>1669</v>
      </c>
      <c r="F24" s="429">
        <v>10.83</v>
      </c>
      <c r="G24" s="429">
        <v>11.94</v>
      </c>
      <c r="H24" s="429">
        <v>169.4</v>
      </c>
      <c r="I24" s="429">
        <v>170.8</v>
      </c>
      <c r="J24" s="51">
        <v>20</v>
      </c>
      <c r="K24" s="352">
        <v>28.630800000000001</v>
      </c>
      <c r="L24" s="97"/>
      <c r="M24" s="338">
        <v>230.1</v>
      </c>
      <c r="N24" s="330" t="s">
        <v>515</v>
      </c>
      <c r="O24" s="98"/>
      <c r="P24" s="94"/>
    </row>
    <row r="25" spans="2:16">
      <c r="B25" s="177">
        <v>22</v>
      </c>
      <c r="C25" s="390" t="s">
        <v>117</v>
      </c>
      <c r="D25" s="454" t="s">
        <v>1627</v>
      </c>
      <c r="E25" s="90">
        <f>'[3]VLH - détail'!F33</f>
        <v>37.608622134434668</v>
      </c>
      <c r="F25" s="90"/>
      <c r="G25" s="96">
        <f>'[3]VLH - détail'!I33</f>
        <v>1.4490957168462656E-2</v>
      </c>
      <c r="H25" s="96">
        <f>'[3]VLH - détail'!O33</f>
        <v>2.1722360715247473</v>
      </c>
      <c r="I25" s="96">
        <f>'[3]VLH - détail'!P33</f>
        <v>110.26705361566367</v>
      </c>
      <c r="J25" s="51">
        <f>'[3]VLnappe - détail'!R24</f>
        <v>1.7</v>
      </c>
      <c r="K25" s="352">
        <v>0.60670000000000002</v>
      </c>
      <c r="L25" s="97"/>
      <c r="M25" s="330" t="s">
        <v>520</v>
      </c>
      <c r="N25" s="330">
        <f t="shared" si="1"/>
        <v>3.4</v>
      </c>
      <c r="O25" s="98"/>
      <c r="P25" s="94"/>
    </row>
    <row r="26" spans="2:16">
      <c r="B26" s="177">
        <v>23</v>
      </c>
      <c r="C26" s="390" t="s">
        <v>118</v>
      </c>
      <c r="D26" s="454" t="s">
        <v>1895</v>
      </c>
      <c r="E26" s="429">
        <v>400.5</v>
      </c>
      <c r="F26" s="429">
        <v>11.76</v>
      </c>
      <c r="G26" s="429">
        <v>19.78</v>
      </c>
      <c r="H26" s="429">
        <v>400.5</v>
      </c>
      <c r="I26" s="429">
        <v>2316</v>
      </c>
      <c r="J26" s="51">
        <f>'[3]VLnappe - détail'!R25</f>
        <v>2.4</v>
      </c>
      <c r="K26" s="352">
        <v>10.100899999999999</v>
      </c>
      <c r="L26" s="97"/>
      <c r="M26" s="330">
        <v>342.7</v>
      </c>
      <c r="N26" s="330">
        <f t="shared" si="1"/>
        <v>4.8</v>
      </c>
      <c r="O26" s="98"/>
      <c r="P26" s="94"/>
    </row>
    <row r="27" spans="2:16">
      <c r="B27" s="177">
        <v>24</v>
      </c>
      <c r="C27" s="390" t="s">
        <v>119</v>
      </c>
      <c r="D27" s="516" t="s">
        <v>1833</v>
      </c>
      <c r="E27" s="429">
        <v>12.19</v>
      </c>
      <c r="F27" s="429">
        <v>0.22539999999999999</v>
      </c>
      <c r="G27" s="429">
        <v>0.7036</v>
      </c>
      <c r="H27" s="429">
        <v>12.19</v>
      </c>
      <c r="I27" s="429">
        <v>20.51</v>
      </c>
      <c r="J27" s="51">
        <f>'[3]VLnappe - détail'!R26</f>
        <v>1</v>
      </c>
      <c r="K27" s="352">
        <v>10.2966</v>
      </c>
      <c r="L27" s="97"/>
      <c r="M27" s="540">
        <v>15.83</v>
      </c>
      <c r="N27" s="330">
        <f t="shared" si="1"/>
        <v>2</v>
      </c>
      <c r="O27" s="98"/>
      <c r="P27" s="99"/>
    </row>
    <row r="28" spans="2:16">
      <c r="B28" s="177">
        <v>25</v>
      </c>
      <c r="C28" s="390" t="s">
        <v>89</v>
      </c>
      <c r="D28" s="454" t="s">
        <v>1776</v>
      </c>
      <c r="E28" s="90">
        <f>'[3]VLH - détail'!F36</f>
        <v>143.91353377346061</v>
      </c>
      <c r="F28" s="90"/>
      <c r="G28" s="96">
        <f>'[3]VLH - détail'!I36</f>
        <v>3.0157106254844033</v>
      </c>
      <c r="H28" s="96">
        <f>'[3]VLH - détail'!O36</f>
        <v>106.69679174687339</v>
      </c>
      <c r="I28" s="96">
        <f>'[3]VLH - détail'!P36</f>
        <v>208.78403886473112</v>
      </c>
      <c r="J28" s="51">
        <f>'[3]VLnappe - détail'!R27</f>
        <v>930</v>
      </c>
      <c r="K28" s="352">
        <v>9.5746000000000002</v>
      </c>
      <c r="L28" s="97"/>
      <c r="M28" s="330">
        <v>378676.70990720938</v>
      </c>
      <c r="N28" s="330">
        <f t="shared" si="1"/>
        <v>1860</v>
      </c>
      <c r="O28" s="98"/>
      <c r="P28" s="94"/>
    </row>
    <row r="29" spans="2:16">
      <c r="B29" s="177">
        <v>26</v>
      </c>
      <c r="C29" s="390" t="s">
        <v>90</v>
      </c>
      <c r="D29" s="454" t="s">
        <v>1775</v>
      </c>
      <c r="E29" s="90">
        <f>'[3]VLH - détail'!F37</f>
        <v>157.68387330568584</v>
      </c>
      <c r="F29" s="90"/>
      <c r="G29" s="96">
        <f>'[3]VLH - détail'!I37</f>
        <v>3.3085100059707715</v>
      </c>
      <c r="H29" s="96">
        <f>'[3]VLH - détail'!O37</f>
        <v>116.98625882150668</v>
      </c>
      <c r="I29" s="96">
        <f>'[3]VLH - détail'!P37</f>
        <v>229.30192152958026</v>
      </c>
      <c r="J29" s="51">
        <f>'[3]VLnappe - détail'!R28</f>
        <v>930</v>
      </c>
      <c r="K29" s="352">
        <v>10.480700000000001</v>
      </c>
      <c r="L29" s="97"/>
      <c r="M29" s="330">
        <v>380448.83441853255</v>
      </c>
      <c r="N29" s="330">
        <f t="shared" si="1"/>
        <v>1860</v>
      </c>
      <c r="O29" s="98"/>
      <c r="P29" s="94"/>
    </row>
    <row r="30" spans="2:16">
      <c r="B30" s="177">
        <v>27</v>
      </c>
      <c r="C30" s="390" t="s">
        <v>91</v>
      </c>
      <c r="D30" s="454" t="s">
        <v>1774</v>
      </c>
      <c r="E30" s="90">
        <f>'[3]VLH - détail'!F38</f>
        <v>422.64640339980201</v>
      </c>
      <c r="F30" s="90"/>
      <c r="G30" s="96">
        <f>'[3]VLH - détail'!I38</f>
        <v>9.1493272197136903</v>
      </c>
      <c r="H30" s="96">
        <f>'[3]VLH - détail'!O38</f>
        <v>317.02461816239077</v>
      </c>
      <c r="I30" s="96">
        <f>'[3]VLH - détail'!P38</f>
        <v>626.24863638748423</v>
      </c>
      <c r="J30" s="51">
        <f>'[3]VLnappe - détail'!R29</f>
        <v>1900</v>
      </c>
      <c r="K30" s="352">
        <v>57.9208</v>
      </c>
      <c r="L30" s="97"/>
      <c r="M30" s="330">
        <v>379122.63215709274</v>
      </c>
      <c r="N30" s="330">
        <f t="shared" si="1"/>
        <v>3800</v>
      </c>
      <c r="O30" s="98"/>
      <c r="P30" s="94"/>
    </row>
    <row r="31" spans="2:16" ht="48.75" customHeight="1">
      <c r="B31" s="177">
        <v>28</v>
      </c>
      <c r="C31" s="48" t="s">
        <v>348</v>
      </c>
      <c r="D31" s="516" t="s">
        <v>1919</v>
      </c>
      <c r="E31" s="90">
        <f>'[3]VLH - détail'!F39</f>
        <v>212.46563620291769</v>
      </c>
      <c r="F31" s="90"/>
      <c r="G31" s="96">
        <f>'[3]VLH - détail'!I39</f>
        <v>4.5026731880205668</v>
      </c>
      <c r="H31" s="96">
        <f>'[3]VLH - détail'!O39</f>
        <v>158.17083253332001</v>
      </c>
      <c r="I31" s="96">
        <f>'[3]VLH - détail'!P39</f>
        <v>310.65899097481326</v>
      </c>
      <c r="J31" s="319" t="s">
        <v>607</v>
      </c>
      <c r="K31" s="353" t="s">
        <v>607</v>
      </c>
      <c r="L31" s="319"/>
      <c r="M31" s="320" t="s">
        <v>518</v>
      </c>
      <c r="N31" s="330" t="e">
        <f t="shared" si="1"/>
        <v>#VALUE!</v>
      </c>
      <c r="O31" s="98"/>
      <c r="P31" s="94"/>
    </row>
    <row r="32" spans="2:16">
      <c r="B32" s="177">
        <v>29</v>
      </c>
      <c r="C32" s="390" t="s">
        <v>92</v>
      </c>
      <c r="D32" s="454" t="s">
        <v>1696</v>
      </c>
      <c r="E32" s="90">
        <f>'[3]VLH - détail'!F40</f>
        <v>4670.6049207358301</v>
      </c>
      <c r="F32" s="90"/>
      <c r="G32" s="96">
        <f>'[3]VLH - détail'!I40</f>
        <v>3.9468827298432525</v>
      </c>
      <c r="H32" s="96">
        <f>'[3]VLH - détail'!O40</f>
        <v>4670.6049207358301</v>
      </c>
      <c r="I32" s="96">
        <f>'[3]VLH - détail'!P40</f>
        <v>21362.868152519542</v>
      </c>
      <c r="J32" s="51">
        <f>'[3]VLnappe - détail'!R31</f>
        <v>360</v>
      </c>
      <c r="K32" s="352">
        <v>17.303699999999999</v>
      </c>
      <c r="L32" s="97"/>
      <c r="M32" s="330" t="s">
        <v>520</v>
      </c>
      <c r="N32" s="330">
        <f t="shared" si="1"/>
        <v>720</v>
      </c>
      <c r="O32" s="98"/>
      <c r="P32" s="94"/>
    </row>
    <row r="33" spans="2:16" s="101" customFormat="1" ht="45" customHeight="1">
      <c r="B33" s="177">
        <v>30</v>
      </c>
      <c r="C33" s="390" t="s">
        <v>93</v>
      </c>
      <c r="D33" s="454" t="s">
        <v>1697</v>
      </c>
      <c r="E33" s="577" t="s">
        <v>515</v>
      </c>
      <c r="F33" s="578"/>
      <c r="G33" s="578"/>
      <c r="H33" s="578"/>
      <c r="I33" s="579"/>
      <c r="J33" s="51" t="str">
        <f>'[3]VLnappe - détail'!R32</f>
        <v>NA</v>
      </c>
      <c r="K33" s="354" t="s">
        <v>515</v>
      </c>
      <c r="L33" s="319" t="s">
        <v>1524</v>
      </c>
      <c r="M33" s="330" t="s">
        <v>516</v>
      </c>
      <c r="N33" s="330" t="s">
        <v>515</v>
      </c>
      <c r="O33" s="98" t="s">
        <v>545</v>
      </c>
      <c r="P33" s="94"/>
    </row>
    <row r="34" spans="2:16">
      <c r="B34" s="177">
        <v>31</v>
      </c>
      <c r="C34" s="390" t="s">
        <v>94</v>
      </c>
      <c r="D34" s="454" t="s">
        <v>1698</v>
      </c>
      <c r="E34" s="90">
        <f>'[3]VLH - détail'!F42</f>
        <v>140.1181476220749</v>
      </c>
      <c r="F34" s="90"/>
      <c r="G34" s="96">
        <f>'[3]VLH - détail'!I42</f>
        <v>6.2492178047313204E-2</v>
      </c>
      <c r="H34" s="96">
        <f>'[3]VLH - détail'!O42</f>
        <v>140.1181476220749</v>
      </c>
      <c r="I34" s="96">
        <f>'[3]VLH - détail'!P42</f>
        <v>640.8860445755862</v>
      </c>
      <c r="J34" s="51">
        <f>'[3]VLnappe - détail'!R33</f>
        <v>11</v>
      </c>
      <c r="K34" s="352">
        <v>0.27379999999999999</v>
      </c>
      <c r="L34" s="97"/>
      <c r="M34" s="330" t="s">
        <v>520</v>
      </c>
      <c r="N34" s="330">
        <f t="shared" si="1"/>
        <v>22</v>
      </c>
      <c r="O34" s="98"/>
      <c r="P34" s="94"/>
    </row>
    <row r="35" spans="2:16">
      <c r="B35" s="177">
        <v>32</v>
      </c>
      <c r="C35" s="390" t="s">
        <v>95</v>
      </c>
      <c r="D35" s="454" t="s">
        <v>1668</v>
      </c>
      <c r="E35" s="90">
        <f>'[3]VLH - détail'!F43</f>
        <v>233.53024603679154</v>
      </c>
      <c r="F35" s="90"/>
      <c r="G35" s="96">
        <f>'[3]VLH - détail'!I43</f>
        <v>0.20529203724157971</v>
      </c>
      <c r="H35" s="96">
        <f>'[3]VLH - détail'!O43</f>
        <v>233.53024603679154</v>
      </c>
      <c r="I35" s="96">
        <f>'[3]VLH - détail'!P43</f>
        <v>1068.143407625977</v>
      </c>
      <c r="J35" s="51">
        <f>'[3]VLnappe - détail'!R34</f>
        <v>18</v>
      </c>
      <c r="K35" s="352">
        <v>2.7311000000000001</v>
      </c>
      <c r="L35" s="97"/>
      <c r="M35" s="330" t="s">
        <v>520</v>
      </c>
      <c r="N35" s="330">
        <f t="shared" si="1"/>
        <v>36</v>
      </c>
      <c r="O35" s="98"/>
      <c r="P35" s="94"/>
    </row>
    <row r="36" spans="2:16">
      <c r="B36" s="177">
        <v>33</v>
      </c>
      <c r="C36" s="394" t="s">
        <v>96</v>
      </c>
      <c r="D36" s="454" t="s">
        <v>1663</v>
      </c>
      <c r="E36" s="429">
        <v>2453</v>
      </c>
      <c r="F36" s="429">
        <v>3.262</v>
      </c>
      <c r="G36" s="429">
        <v>4.8970000000000002</v>
      </c>
      <c r="H36" s="429">
        <v>1056</v>
      </c>
      <c r="I36" s="429">
        <v>1056</v>
      </c>
      <c r="J36" s="51">
        <f>'[3]VLnappe - détail'!R35</f>
        <v>15</v>
      </c>
      <c r="K36" s="352">
        <v>0.4889</v>
      </c>
      <c r="L36" s="97"/>
      <c r="M36" s="330">
        <v>69870</v>
      </c>
      <c r="N36" s="330">
        <f t="shared" si="1"/>
        <v>30</v>
      </c>
      <c r="O36" s="98"/>
      <c r="P36" s="94"/>
    </row>
    <row r="37" spans="2:16" s="396" customFormat="1" ht="45" customHeight="1">
      <c r="B37" s="177">
        <v>34</v>
      </c>
      <c r="C37" s="390" t="s">
        <v>97</v>
      </c>
      <c r="D37" s="454" t="s">
        <v>1671</v>
      </c>
      <c r="E37" s="580" t="s">
        <v>515</v>
      </c>
      <c r="F37" s="581"/>
      <c r="G37" s="581"/>
      <c r="H37" s="581"/>
      <c r="I37" s="582"/>
      <c r="J37" s="328" t="s">
        <v>515</v>
      </c>
      <c r="K37" s="354" t="s">
        <v>515</v>
      </c>
      <c r="L37" s="319" t="s">
        <v>1524</v>
      </c>
      <c r="M37" s="330" t="s">
        <v>516</v>
      </c>
      <c r="N37" s="330" t="s">
        <v>515</v>
      </c>
      <c r="O37" s="98" t="s">
        <v>545</v>
      </c>
      <c r="P37" s="94"/>
    </row>
    <row r="38" spans="2:16" ht="45" customHeight="1">
      <c r="B38" s="177">
        <v>35</v>
      </c>
      <c r="C38" s="390" t="s">
        <v>98</v>
      </c>
      <c r="D38" s="454" t="s">
        <v>1675</v>
      </c>
      <c r="E38" s="577" t="s">
        <v>515</v>
      </c>
      <c r="F38" s="578"/>
      <c r="G38" s="578"/>
      <c r="H38" s="578"/>
      <c r="I38" s="579"/>
      <c r="J38" s="328" t="s">
        <v>515</v>
      </c>
      <c r="K38" s="354" t="s">
        <v>515</v>
      </c>
      <c r="L38" s="319" t="s">
        <v>1524</v>
      </c>
      <c r="M38" s="330" t="s">
        <v>516</v>
      </c>
      <c r="N38" s="330" t="s">
        <v>515</v>
      </c>
      <c r="O38" s="98" t="s">
        <v>545</v>
      </c>
      <c r="P38" s="94"/>
    </row>
    <row r="39" spans="2:16">
      <c r="B39" s="177">
        <v>36</v>
      </c>
      <c r="C39" s="390" t="s">
        <v>99</v>
      </c>
      <c r="D39" s="454" t="s">
        <v>1652</v>
      </c>
      <c r="E39" s="429">
        <v>1501</v>
      </c>
      <c r="F39" s="429">
        <v>9.3049999999999997</v>
      </c>
      <c r="G39" s="429">
        <v>14.21</v>
      </c>
      <c r="H39" s="429">
        <v>1501</v>
      </c>
      <c r="I39" s="429">
        <v>4726</v>
      </c>
      <c r="J39" s="51">
        <f>'[3]VLnappe - détail'!R38</f>
        <v>9</v>
      </c>
      <c r="K39" s="352">
        <v>0.82750000000000001</v>
      </c>
      <c r="L39" s="97"/>
      <c r="M39" s="330">
        <v>79550</v>
      </c>
      <c r="N39" s="330">
        <f t="shared" si="1"/>
        <v>18</v>
      </c>
      <c r="O39" s="98"/>
      <c r="P39" s="94"/>
    </row>
    <row r="40" spans="2:16" ht="45" customHeight="1">
      <c r="B40" s="177">
        <v>37</v>
      </c>
      <c r="C40" s="390" t="s">
        <v>100</v>
      </c>
      <c r="D40" s="454" t="s">
        <v>1658</v>
      </c>
      <c r="E40" s="577" t="s">
        <v>515</v>
      </c>
      <c r="F40" s="578"/>
      <c r="G40" s="578"/>
      <c r="H40" s="578"/>
      <c r="I40" s="579"/>
      <c r="J40" s="328" t="s">
        <v>515</v>
      </c>
      <c r="K40" s="354" t="s">
        <v>515</v>
      </c>
      <c r="L40" s="319" t="s">
        <v>1524</v>
      </c>
      <c r="M40" s="330" t="s">
        <v>516</v>
      </c>
      <c r="N40" s="330" t="s">
        <v>515</v>
      </c>
      <c r="O40" s="98" t="s">
        <v>545</v>
      </c>
      <c r="P40" s="94"/>
    </row>
    <row r="41" spans="2:16" ht="45" customHeight="1">
      <c r="B41" s="177">
        <v>38</v>
      </c>
      <c r="C41" s="390" t="s">
        <v>101</v>
      </c>
      <c r="D41" s="454" t="s">
        <v>1667</v>
      </c>
      <c r="E41" s="577" t="s">
        <v>515</v>
      </c>
      <c r="F41" s="578"/>
      <c r="G41" s="578"/>
      <c r="H41" s="578"/>
      <c r="I41" s="579"/>
      <c r="J41" s="328" t="s">
        <v>515</v>
      </c>
      <c r="K41" s="354" t="s">
        <v>515</v>
      </c>
      <c r="L41" s="319" t="s">
        <v>1524</v>
      </c>
      <c r="M41" s="330" t="s">
        <v>516</v>
      </c>
      <c r="N41" s="330" t="s">
        <v>515</v>
      </c>
      <c r="O41" s="98" t="s">
        <v>545</v>
      </c>
      <c r="P41" s="94"/>
    </row>
    <row r="42" spans="2:16" ht="45" customHeight="1">
      <c r="B42" s="177">
        <v>39</v>
      </c>
      <c r="C42" s="390" t="s">
        <v>102</v>
      </c>
      <c r="D42" s="454" t="s">
        <v>1669</v>
      </c>
      <c r="E42" s="577" t="s">
        <v>515</v>
      </c>
      <c r="F42" s="578"/>
      <c r="G42" s="578"/>
      <c r="H42" s="578"/>
      <c r="I42" s="579"/>
      <c r="J42" s="328" t="s">
        <v>515</v>
      </c>
      <c r="K42" s="354" t="s">
        <v>515</v>
      </c>
      <c r="L42" s="319" t="s">
        <v>1524</v>
      </c>
      <c r="M42" s="330" t="s">
        <v>516</v>
      </c>
      <c r="N42" s="330" t="s">
        <v>515</v>
      </c>
      <c r="O42" s="98" t="s">
        <v>545</v>
      </c>
      <c r="P42" s="94"/>
    </row>
    <row r="43" spans="2:16" ht="45" customHeight="1">
      <c r="B43" s="177">
        <v>40</v>
      </c>
      <c r="C43" s="390" t="s">
        <v>103</v>
      </c>
      <c r="D43" s="454" t="s">
        <v>1643</v>
      </c>
      <c r="E43" s="577" t="s">
        <v>515</v>
      </c>
      <c r="F43" s="578"/>
      <c r="G43" s="578"/>
      <c r="H43" s="578"/>
      <c r="I43" s="579"/>
      <c r="J43" s="328" t="s">
        <v>515</v>
      </c>
      <c r="K43" s="354" t="s">
        <v>515</v>
      </c>
      <c r="L43" s="319" t="s">
        <v>1524</v>
      </c>
      <c r="M43" s="330" t="s">
        <v>516</v>
      </c>
      <c r="N43" s="330" t="s">
        <v>515</v>
      </c>
      <c r="O43" s="98" t="s">
        <v>545</v>
      </c>
      <c r="P43" s="94"/>
    </row>
    <row r="44" spans="2:16" ht="45" customHeight="1">
      <c r="B44" s="177">
        <v>41</v>
      </c>
      <c r="C44" s="390" t="s">
        <v>104</v>
      </c>
      <c r="D44" s="454" t="s">
        <v>1644</v>
      </c>
      <c r="E44" s="577" t="s">
        <v>515</v>
      </c>
      <c r="F44" s="578"/>
      <c r="G44" s="578"/>
      <c r="H44" s="578"/>
      <c r="I44" s="579"/>
      <c r="J44" s="328" t="s">
        <v>515</v>
      </c>
      <c r="K44" s="354" t="s">
        <v>515</v>
      </c>
      <c r="L44" s="319" t="s">
        <v>1524</v>
      </c>
      <c r="M44" s="330" t="s">
        <v>516</v>
      </c>
      <c r="N44" s="330" t="s">
        <v>515</v>
      </c>
      <c r="O44" s="98" t="s">
        <v>545</v>
      </c>
      <c r="P44" s="94"/>
    </row>
    <row r="45" spans="2:16" ht="30">
      <c r="B45" s="177">
        <v>42</v>
      </c>
      <c r="C45" s="390" t="s">
        <v>105</v>
      </c>
      <c r="D45" s="454" t="s">
        <v>1648</v>
      </c>
      <c r="E45" s="429">
        <v>50100</v>
      </c>
      <c r="F45" s="429">
        <v>896.5</v>
      </c>
      <c r="G45" s="429">
        <v>1329</v>
      </c>
      <c r="H45" s="429">
        <v>50100</v>
      </c>
      <c r="I45" s="429">
        <v>269300</v>
      </c>
      <c r="J45" s="51">
        <f>'[3]VLnappe - détail'!R44</f>
        <v>300</v>
      </c>
      <c r="K45" s="352">
        <v>57.774099999999997</v>
      </c>
      <c r="L45" s="97"/>
      <c r="M45" s="320" t="s">
        <v>521</v>
      </c>
      <c r="N45" s="330">
        <f t="shared" si="1"/>
        <v>600</v>
      </c>
      <c r="O45" s="98"/>
      <c r="P45" s="94"/>
    </row>
    <row r="46" spans="2:16">
      <c r="B46" s="177">
        <v>43</v>
      </c>
      <c r="C46" s="390" t="s">
        <v>106</v>
      </c>
      <c r="D46" s="454" t="s">
        <v>1649</v>
      </c>
      <c r="E46" s="429">
        <v>313.7</v>
      </c>
      <c r="F46" s="429">
        <v>1.905</v>
      </c>
      <c r="G46" s="429">
        <v>2.915</v>
      </c>
      <c r="H46" s="429">
        <v>313.7</v>
      </c>
      <c r="I46" s="429">
        <v>281.2</v>
      </c>
      <c r="J46" s="51">
        <f>'[3]VLnappe - détail'!R45</f>
        <v>200</v>
      </c>
      <c r="K46" s="352">
        <v>31.226099999999999</v>
      </c>
      <c r="L46" s="97"/>
      <c r="M46" s="330">
        <v>91950</v>
      </c>
      <c r="N46" s="330">
        <f t="shared" si="1"/>
        <v>400</v>
      </c>
      <c r="O46" s="98"/>
      <c r="P46" s="94"/>
    </row>
    <row r="47" spans="2:16" ht="45" customHeight="1">
      <c r="B47" s="177">
        <v>44</v>
      </c>
      <c r="C47" s="48" t="s">
        <v>107</v>
      </c>
      <c r="D47" s="454" t="s">
        <v>1666</v>
      </c>
      <c r="E47" s="577" t="s">
        <v>515</v>
      </c>
      <c r="F47" s="578"/>
      <c r="G47" s="578"/>
      <c r="H47" s="578"/>
      <c r="I47" s="579"/>
      <c r="J47" s="328" t="s">
        <v>515</v>
      </c>
      <c r="K47" s="354" t="s">
        <v>515</v>
      </c>
      <c r="L47" s="319" t="s">
        <v>1524</v>
      </c>
      <c r="M47" s="330" t="s">
        <v>516</v>
      </c>
      <c r="N47" s="330" t="s">
        <v>515</v>
      </c>
      <c r="O47" s="98" t="s">
        <v>545</v>
      </c>
      <c r="P47" s="94"/>
    </row>
    <row r="48" spans="2:16" ht="45" customHeight="1">
      <c r="B48" s="177">
        <v>45</v>
      </c>
      <c r="C48" s="48" t="s">
        <v>108</v>
      </c>
      <c r="D48" s="454" t="s">
        <v>1640</v>
      </c>
      <c r="E48" s="577" t="s">
        <v>515</v>
      </c>
      <c r="F48" s="578"/>
      <c r="G48" s="578"/>
      <c r="H48" s="578"/>
      <c r="I48" s="579"/>
      <c r="J48" s="328" t="s">
        <v>515</v>
      </c>
      <c r="K48" s="354" t="s">
        <v>515</v>
      </c>
      <c r="L48" s="319" t="s">
        <v>1524</v>
      </c>
      <c r="M48" s="330" t="s">
        <v>516</v>
      </c>
      <c r="N48" s="330" t="s">
        <v>515</v>
      </c>
      <c r="O48" s="98" t="s">
        <v>545</v>
      </c>
      <c r="P48" s="94"/>
    </row>
    <row r="49" spans="2:16" ht="30">
      <c r="B49" s="177">
        <v>46</v>
      </c>
      <c r="C49" s="390" t="s">
        <v>109</v>
      </c>
      <c r="D49" s="454" t="s">
        <v>1641</v>
      </c>
      <c r="E49" s="395">
        <v>5016</v>
      </c>
      <c r="F49" s="395">
        <v>184.8</v>
      </c>
      <c r="G49" s="395">
        <v>263.60000000000002</v>
      </c>
      <c r="H49" s="395">
        <v>5016</v>
      </c>
      <c r="I49" s="395">
        <v>21980</v>
      </c>
      <c r="J49" s="51">
        <f>'[3]VLnappe - détail'!R48</f>
        <v>90</v>
      </c>
      <c r="K49" s="352">
        <v>35.118200000000002</v>
      </c>
      <c r="L49" s="97"/>
      <c r="M49" s="320" t="s">
        <v>521</v>
      </c>
      <c r="N49" s="330">
        <f t="shared" si="1"/>
        <v>180</v>
      </c>
      <c r="O49" s="98"/>
      <c r="P49" s="94"/>
    </row>
    <row r="50" spans="2:16" ht="45">
      <c r="B50" s="390">
        <v>47</v>
      </c>
      <c r="C50" s="390" t="s">
        <v>350</v>
      </c>
      <c r="D50" s="454" t="s">
        <v>1642</v>
      </c>
      <c r="E50" s="586" t="s">
        <v>515</v>
      </c>
      <c r="F50" s="587"/>
      <c r="G50" s="587"/>
      <c r="H50" s="587"/>
      <c r="I50" s="588"/>
      <c r="J50" s="328" t="s">
        <v>515</v>
      </c>
      <c r="K50" s="354" t="s">
        <v>515</v>
      </c>
      <c r="L50" s="319" t="s">
        <v>1524</v>
      </c>
      <c r="M50" s="330" t="s">
        <v>516</v>
      </c>
      <c r="N50" s="330" t="s">
        <v>515</v>
      </c>
      <c r="O50" s="98" t="s">
        <v>545</v>
      </c>
      <c r="P50" s="94"/>
    </row>
    <row r="51" spans="2:16">
      <c r="B51" s="177">
        <v>48</v>
      </c>
      <c r="C51" s="390" t="s">
        <v>68</v>
      </c>
      <c r="D51" s="454" t="s">
        <v>1766</v>
      </c>
      <c r="E51" s="90">
        <f>'[3]VLH - détail'!F59</f>
        <v>1000000</v>
      </c>
      <c r="F51" s="90"/>
      <c r="G51" s="96">
        <f>'[3]VLH - détail'!I59</f>
        <v>32.671027457610442</v>
      </c>
      <c r="H51" s="96">
        <f>'[3]VLH - détail'!O59</f>
        <v>137.43354961501313</v>
      </c>
      <c r="I51" s="96">
        <f>'[3]VLH - détail'!P59</f>
        <v>137.43354961501313</v>
      </c>
      <c r="J51" s="51">
        <f>'[3]VLnappe - détail'!R50</f>
        <v>21000</v>
      </c>
      <c r="K51" s="354">
        <v>237.64089999999999</v>
      </c>
      <c r="L51" s="332"/>
      <c r="M51" s="330">
        <v>63576.871237327927</v>
      </c>
      <c r="N51" s="330">
        <f t="shared" si="1"/>
        <v>42000</v>
      </c>
      <c r="O51" s="98"/>
      <c r="P51" s="94"/>
    </row>
    <row r="52" spans="2:16">
      <c r="B52" s="177">
        <v>49</v>
      </c>
      <c r="C52" s="390" t="s">
        <v>70</v>
      </c>
      <c r="D52" s="454" t="s">
        <v>1777</v>
      </c>
      <c r="E52" s="90">
        <f>'[3]VLH - détail'!F60</f>
        <v>22702.992163237479</v>
      </c>
      <c r="F52" s="90"/>
      <c r="G52" s="96">
        <f>'[3]VLH - détail'!I60</f>
        <v>23.546986491108349</v>
      </c>
      <c r="H52" s="96">
        <f>'[3]VLH - détail'!O60</f>
        <v>553.09613048427377</v>
      </c>
      <c r="I52" s="96">
        <f>'[3]VLH - détail'!P60</f>
        <v>553.09613048427377</v>
      </c>
      <c r="J52" s="51">
        <f>'[3]VLnappe - détail'!R51</f>
        <v>450</v>
      </c>
      <c r="K52" s="352">
        <v>177.7971</v>
      </c>
      <c r="L52" s="97"/>
      <c r="M52" s="330">
        <v>7536.1271437450878</v>
      </c>
      <c r="N52" s="330">
        <f t="shared" si="1"/>
        <v>900</v>
      </c>
      <c r="O52" s="98"/>
      <c r="P52" s="94"/>
    </row>
    <row r="53" spans="2:16">
      <c r="B53" s="177">
        <v>50</v>
      </c>
      <c r="C53" s="390" t="s">
        <v>186</v>
      </c>
      <c r="D53" s="454" t="s">
        <v>1686</v>
      </c>
      <c r="E53" s="90">
        <f>'[3]VLH - détail'!F61</f>
        <v>16347.117222575407</v>
      </c>
      <c r="F53" s="90"/>
      <c r="G53" s="96">
        <f>'[3]VLH - détail'!I61</f>
        <v>9.0862008809759196</v>
      </c>
      <c r="H53" s="96">
        <f>'[3]VLH - détail'!O61</f>
        <v>16347.117222575407</v>
      </c>
      <c r="I53" s="96">
        <f>'[3]VLH - détail'!P61</f>
        <v>74770.038533818399</v>
      </c>
      <c r="J53" s="51">
        <f>'[3]VLnappe - détail'!R52</f>
        <v>210.00000000000003</v>
      </c>
      <c r="K53" s="352">
        <v>51.318600000000004</v>
      </c>
      <c r="L53" s="97"/>
      <c r="M53" s="330" t="s">
        <v>520</v>
      </c>
      <c r="N53" s="330">
        <f t="shared" si="1"/>
        <v>420.00000000000006</v>
      </c>
      <c r="O53" s="98"/>
      <c r="P53" s="94"/>
    </row>
    <row r="54" spans="2:16">
      <c r="B54" s="177">
        <v>51</v>
      </c>
      <c r="C54" s="390" t="s">
        <v>188</v>
      </c>
      <c r="D54" s="454" t="s">
        <v>1700</v>
      </c>
      <c r="E54" s="90">
        <f>'[3]VLH - détail'!F62</f>
        <v>934.12098414716615</v>
      </c>
      <c r="F54" s="90"/>
      <c r="G54" s="96">
        <f>'[3]VLH - détail'!I62</f>
        <v>1.7473668789957979</v>
      </c>
      <c r="H54" s="96">
        <f>'[3]VLH - détail'!O62</f>
        <v>934.12098414716615</v>
      </c>
      <c r="I54" s="96">
        <f>'[3]VLH - détail'!P62</f>
        <v>4272.5736305039081</v>
      </c>
      <c r="J54" s="51">
        <f>'[3]VLnappe - détail'!R53</f>
        <v>12</v>
      </c>
      <c r="K54" s="352">
        <v>12.049099999999999</v>
      </c>
      <c r="L54" s="97"/>
      <c r="M54" s="330" t="s">
        <v>520</v>
      </c>
      <c r="N54" s="330">
        <f t="shared" si="1"/>
        <v>24</v>
      </c>
      <c r="O54" s="98"/>
      <c r="P54" s="94"/>
    </row>
    <row r="55" spans="2:16">
      <c r="B55" s="177">
        <v>52</v>
      </c>
      <c r="C55" s="390" t="s">
        <v>75</v>
      </c>
      <c r="D55" s="454" t="s">
        <v>1621</v>
      </c>
      <c r="E55" s="90">
        <f>'[3]VLH - détail'!F63</f>
        <v>382.4900945936725</v>
      </c>
      <c r="F55" s="90"/>
      <c r="G55" s="96">
        <f>'[3]VLH - détail'!I63</f>
        <v>1.1954659023975227</v>
      </c>
      <c r="H55" s="96">
        <f>'[3]VLH - détail'!O63</f>
        <v>5.6574259391335788</v>
      </c>
      <c r="I55" s="96">
        <f>'[3]VLH - détail'!P63</f>
        <v>5.6574259391335788</v>
      </c>
      <c r="J55" s="51">
        <f>'[3]VLnappe - détail'!R54</f>
        <v>10</v>
      </c>
      <c r="K55" s="352">
        <v>0.38919999999999999</v>
      </c>
      <c r="L55" s="97"/>
      <c r="M55" s="330">
        <v>761.91711417782005</v>
      </c>
      <c r="N55" s="330">
        <f t="shared" si="1"/>
        <v>20</v>
      </c>
      <c r="O55" s="98"/>
      <c r="P55" s="94"/>
    </row>
    <row r="56" spans="2:16">
      <c r="B56" s="177">
        <v>53</v>
      </c>
      <c r="C56" s="390" t="s">
        <v>65</v>
      </c>
      <c r="D56" s="454" t="s">
        <v>1755</v>
      </c>
      <c r="E56" s="90">
        <f>'[3]VLH - détail'!F64</f>
        <v>508.14282521880813</v>
      </c>
      <c r="F56" s="90"/>
      <c r="G56" s="96">
        <f>'[3]VLH - détail'!I64</f>
        <v>0.27705697094932996</v>
      </c>
      <c r="H56" s="96">
        <f>'[3]VLH - détail'!O64</f>
        <v>20.151702921410816</v>
      </c>
      <c r="I56" s="96">
        <f>'[3]VLH - détail'!P64</f>
        <v>20.151702921410816</v>
      </c>
      <c r="J56" s="51">
        <f>'[3]VLnappe - détail'!R55</f>
        <v>100</v>
      </c>
      <c r="K56" s="352">
        <v>2.9462999999999999</v>
      </c>
      <c r="L56" s="97"/>
      <c r="M56" s="330">
        <v>2421.0508593164809</v>
      </c>
      <c r="N56" s="330">
        <f t="shared" si="1"/>
        <v>200</v>
      </c>
      <c r="O56" s="98"/>
      <c r="P56" s="94"/>
    </row>
    <row r="57" spans="2:16">
      <c r="B57" s="177">
        <v>54</v>
      </c>
      <c r="C57" s="390" t="s">
        <v>71</v>
      </c>
      <c r="D57" s="454" t="s">
        <v>1789</v>
      </c>
      <c r="E57" s="90">
        <f>'[3]VLH - détail'!F65</f>
        <v>15.021089814738501</v>
      </c>
      <c r="F57" s="90"/>
      <c r="G57" s="96">
        <f>'[3]VLH - détail'!I65</f>
        <v>1.5449350894669549E-2</v>
      </c>
      <c r="H57" s="96">
        <f>'[3]VLH - détail'!O65</f>
        <v>0.24823560213161164</v>
      </c>
      <c r="I57" s="96">
        <f>'[3]VLH - détail'!P65</f>
        <v>0.24823560213161164</v>
      </c>
      <c r="J57" s="51">
        <f>'[3]VLnappe - détail'!R56</f>
        <v>100</v>
      </c>
      <c r="K57" s="352">
        <v>1.6667000000000001</v>
      </c>
      <c r="L57" s="97"/>
      <c r="M57" s="330">
        <v>51.865158762354625</v>
      </c>
      <c r="N57" s="330">
        <f t="shared" si="1"/>
        <v>200</v>
      </c>
      <c r="O57" s="98"/>
      <c r="P57" s="94"/>
    </row>
    <row r="58" spans="2:16">
      <c r="B58" s="177">
        <v>55</v>
      </c>
      <c r="C58" s="390" t="s">
        <v>112</v>
      </c>
      <c r="D58" s="454" t="s">
        <v>1780</v>
      </c>
      <c r="E58" s="90">
        <f>'[3]VLH - détail'!F66</f>
        <v>605.57477020829401</v>
      </c>
      <c r="F58" s="90"/>
      <c r="G58" s="96">
        <f>'[3]VLH - détail'!I66</f>
        <v>0.75146781827910769</v>
      </c>
      <c r="H58" s="96">
        <f>'[3]VLH - détail'!O66</f>
        <v>564.0444958810391</v>
      </c>
      <c r="I58" s="96">
        <f>'[3]VLH - détail'!P66</f>
        <v>1121.8757047255683</v>
      </c>
      <c r="J58" s="51">
        <f>'[3]VLnappe - détail'!R57</f>
        <v>8</v>
      </c>
      <c r="K58" s="352">
        <v>191.83949999999999</v>
      </c>
      <c r="L58" s="97"/>
      <c r="M58" s="331" t="s">
        <v>521</v>
      </c>
      <c r="N58" s="330">
        <f t="shared" si="1"/>
        <v>16</v>
      </c>
      <c r="O58" s="98"/>
      <c r="P58" s="99"/>
    </row>
    <row r="59" spans="2:16" ht="45" customHeight="1">
      <c r="B59" s="177">
        <v>56</v>
      </c>
      <c r="C59" s="48" t="s">
        <v>351</v>
      </c>
      <c r="D59" s="454" t="s">
        <v>1690</v>
      </c>
      <c r="E59" s="577" t="s">
        <v>515</v>
      </c>
      <c r="F59" s="578"/>
      <c r="G59" s="578"/>
      <c r="H59" s="578"/>
      <c r="I59" s="579"/>
      <c r="J59" s="51" t="str">
        <f>'[3]VLnappe - détail'!R58</f>
        <v>NA</v>
      </c>
      <c r="K59" s="354" t="s">
        <v>515</v>
      </c>
      <c r="L59" s="319" t="s">
        <v>1524</v>
      </c>
      <c r="M59" s="330" t="s">
        <v>516</v>
      </c>
      <c r="N59" s="330" t="s">
        <v>515</v>
      </c>
      <c r="O59" s="98" t="s">
        <v>545</v>
      </c>
      <c r="P59" s="94"/>
    </row>
    <row r="60" spans="2:16">
      <c r="B60" s="177">
        <v>57</v>
      </c>
      <c r="C60" s="390" t="s">
        <v>185</v>
      </c>
      <c r="D60" s="454" t="s">
        <v>1748</v>
      </c>
      <c r="E60" s="90">
        <f>'[3]VLH - détail'!F68</f>
        <v>990.46864193300132</v>
      </c>
      <c r="F60" s="90"/>
      <c r="G60" s="96">
        <f>'[3]VLH - détail'!I68</f>
        <v>0.84004848462143333</v>
      </c>
      <c r="H60" s="96">
        <f>'[3]VLH - détail'!O68</f>
        <v>67.546853597359629</v>
      </c>
      <c r="I60" s="96">
        <f>'[3]VLH - détail'!P68</f>
        <v>1446.0742701590618</v>
      </c>
      <c r="J60" s="51">
        <f>'[3]VLnappe - détail'!R59</f>
        <v>0.83</v>
      </c>
      <c r="K60" s="352">
        <v>0.312</v>
      </c>
      <c r="L60" s="97"/>
      <c r="M60" s="330" t="s">
        <v>520</v>
      </c>
      <c r="N60" s="330">
        <f t="shared" si="1"/>
        <v>1.66</v>
      </c>
      <c r="O60" s="98"/>
      <c r="P60" s="94"/>
    </row>
    <row r="61" spans="2:16">
      <c r="B61" s="177">
        <v>58</v>
      </c>
      <c r="C61" s="390" t="s">
        <v>64</v>
      </c>
      <c r="D61" s="454" t="s">
        <v>1754</v>
      </c>
      <c r="E61" s="90">
        <f>'[3]VLH - détail'!F69</f>
        <v>144.88617343434186</v>
      </c>
      <c r="F61" s="90"/>
      <c r="G61" s="96">
        <f>'[3]VLH - détail'!I69</f>
        <v>7.3188110518551105E-2</v>
      </c>
      <c r="H61" s="96">
        <f>'[3]VLH - détail'!O69</f>
        <v>144.88617343434186</v>
      </c>
      <c r="I61" s="96">
        <f>'[3]VLH - détail'!P69</f>
        <v>267.9929696552631</v>
      </c>
      <c r="J61" s="51">
        <f>'[3]VLnappe - détail'!R60</f>
        <v>60</v>
      </c>
      <c r="K61" s="352">
        <v>1.6353</v>
      </c>
      <c r="L61" s="97"/>
      <c r="M61" s="330" t="s">
        <v>520</v>
      </c>
      <c r="N61" s="330">
        <f t="shared" si="1"/>
        <v>120</v>
      </c>
      <c r="O61" s="98"/>
      <c r="P61" s="94"/>
    </row>
    <row r="62" spans="2:16">
      <c r="B62" s="177">
        <v>59</v>
      </c>
      <c r="C62" s="390" t="s">
        <v>213</v>
      </c>
      <c r="D62" s="454" t="s">
        <v>1736</v>
      </c>
      <c r="E62" s="90">
        <f>'[3]VLH - détail'!F70</f>
        <v>121.43572793913158</v>
      </c>
      <c r="F62" s="90"/>
      <c r="G62" s="96">
        <f>'[3]VLH - détail'!I70</f>
        <v>4.3089112380343395E-2</v>
      </c>
      <c r="H62" s="96">
        <f>'[3]VLH - détail'!O70</f>
        <v>136.43178410794602</v>
      </c>
      <c r="I62" s="96">
        <f>'[3]VLH - détail'!P70</f>
        <v>808.8888888888888</v>
      </c>
      <c r="J62" s="51">
        <f>'[3]VLnappe - détail'!R61</f>
        <v>94</v>
      </c>
      <c r="K62" s="352">
        <v>17.554500000000001</v>
      </c>
      <c r="L62" s="97"/>
      <c r="M62" s="330" t="s">
        <v>514</v>
      </c>
      <c r="N62" s="330">
        <f t="shared" si="1"/>
        <v>188</v>
      </c>
      <c r="O62" s="98"/>
      <c r="P62" s="94"/>
    </row>
    <row r="63" spans="2:16">
      <c r="B63" s="177">
        <v>60</v>
      </c>
      <c r="C63" s="390" t="s">
        <v>214</v>
      </c>
      <c r="D63" s="454" t="s">
        <v>1750</v>
      </c>
      <c r="E63" s="90">
        <f>'[3]VLH - détail'!F71</f>
        <v>4086.7793056438518</v>
      </c>
      <c r="F63" s="90"/>
      <c r="G63" s="96">
        <f>'[3]VLH - détail'!I71</f>
        <v>1.4501143589538643</v>
      </c>
      <c r="H63" s="96">
        <f>'[3]VLH - détail'!O71</f>
        <v>4591.4542728635688</v>
      </c>
      <c r="I63" s="96">
        <f>'[3]VLH - détail'!P71</f>
        <v>27222.222222222219</v>
      </c>
      <c r="J63" s="51">
        <f>'[3]VLnappe - détail'!R62</f>
        <v>1000</v>
      </c>
      <c r="K63" s="352">
        <v>67.5</v>
      </c>
      <c r="L63" s="97"/>
      <c r="M63" s="330" t="s">
        <v>514</v>
      </c>
      <c r="N63" s="330">
        <f t="shared" si="1"/>
        <v>2000</v>
      </c>
      <c r="O63" s="98"/>
      <c r="P63" s="94"/>
    </row>
    <row r="64" spans="2:16">
      <c r="B64" s="177">
        <v>61</v>
      </c>
      <c r="C64" s="390" t="s">
        <v>215</v>
      </c>
      <c r="D64" s="454" t="s">
        <v>1923</v>
      </c>
      <c r="E64" s="90">
        <f>'[3]VLH - détail'!F72</f>
        <v>140118.1476220749</v>
      </c>
      <c r="F64" s="90"/>
      <c r="G64" s="96">
        <f>'[3]VLH - détail'!I72</f>
        <v>49.718206592703915</v>
      </c>
      <c r="H64" s="96">
        <f>'[3]VLH - détail'!O72</f>
        <v>157421.28935532231</v>
      </c>
      <c r="I64" s="96">
        <f>'[3]VLH - détail'!P72</f>
        <v>933333.33333333326</v>
      </c>
      <c r="J64" s="51">
        <f>'[3]VLnappe - détail'!R63</f>
        <v>3600</v>
      </c>
      <c r="K64" s="352">
        <v>2835</v>
      </c>
      <c r="L64" s="97"/>
      <c r="M64" s="330" t="s">
        <v>514</v>
      </c>
      <c r="N64" s="330">
        <f t="shared" si="1"/>
        <v>7200</v>
      </c>
      <c r="O64" s="98"/>
      <c r="P64" s="94"/>
    </row>
    <row r="65" spans="2:16">
      <c r="B65" s="177">
        <v>62</v>
      </c>
      <c r="C65" s="390" t="s">
        <v>356</v>
      </c>
      <c r="D65" s="454" t="s">
        <v>1746</v>
      </c>
      <c r="E65" s="90">
        <f>'[3]VLH - détail'!F73</f>
        <v>3502.9536905518726</v>
      </c>
      <c r="F65" s="90"/>
      <c r="G65" s="96">
        <f>'[3]VLH - détail'!I73</f>
        <v>355.91439281548418</v>
      </c>
      <c r="H65" s="96">
        <f>'[3]VLH - détail'!O73</f>
        <v>3502.9536905518726</v>
      </c>
      <c r="I65" s="96">
        <f>'[3]VLH - détail'!P73</f>
        <v>16022.151114389655</v>
      </c>
      <c r="J65" s="51">
        <f>'[3]VLnappe - détail'!R64</f>
        <v>300</v>
      </c>
      <c r="K65" s="351">
        <v>3133.6233000000002</v>
      </c>
      <c r="L65" s="333"/>
      <c r="M65" s="330" t="s">
        <v>520</v>
      </c>
      <c r="N65" s="330">
        <f t="shared" si="1"/>
        <v>600</v>
      </c>
      <c r="O65" s="98"/>
      <c r="P65" s="94"/>
    </row>
    <row r="66" spans="2:16">
      <c r="B66" s="177">
        <v>63</v>
      </c>
      <c r="C66" s="390" t="s">
        <v>59</v>
      </c>
      <c r="D66" s="454" t="s">
        <v>1664</v>
      </c>
      <c r="E66" s="90">
        <f>'[3]VLH - détail'!F74</f>
        <v>4670.6049207358301</v>
      </c>
      <c r="F66" s="90"/>
      <c r="G66" s="96">
        <f>'[3]VLH - détail'!I74</f>
        <v>4.719137496922797</v>
      </c>
      <c r="H66" s="96">
        <f>'[3]VLH - détail'!O74</f>
        <v>4670.6049207358301</v>
      </c>
      <c r="I66" s="96">
        <f>'[3]VLH - détail'!P74</f>
        <v>21362.868152519542</v>
      </c>
      <c r="J66" s="51">
        <f>'[3]VLnappe - détail'!R65</f>
        <v>140</v>
      </c>
      <c r="K66" s="351">
        <v>32.043300000000002</v>
      </c>
      <c r="L66" s="333"/>
      <c r="M66" s="330" t="s">
        <v>520</v>
      </c>
      <c r="N66" s="330">
        <f t="shared" si="1"/>
        <v>280</v>
      </c>
      <c r="O66" s="98"/>
      <c r="P66" s="94"/>
    </row>
    <row r="67" spans="2:16">
      <c r="B67" s="177">
        <v>64</v>
      </c>
      <c r="C67" s="390" t="s">
        <v>63</v>
      </c>
      <c r="D67" s="454" t="s">
        <v>1753</v>
      </c>
      <c r="E67" s="90">
        <f>'[3]VLH - détail'!F75</f>
        <v>1609.0537909578038</v>
      </c>
      <c r="F67" s="90"/>
      <c r="G67" s="96">
        <f>'[3]VLH - détail'!I75</f>
        <v>1.0124928703594012</v>
      </c>
      <c r="H67" s="96">
        <f>'[3]VLH - détail'!O75</f>
        <v>136.63541716980768</v>
      </c>
      <c r="I67" s="96">
        <f>'[3]VLH - détail'!P75</f>
        <v>136.63541716980768</v>
      </c>
      <c r="J67" s="51">
        <f>'[3]VLnappe - détail'!R66</f>
        <v>62</v>
      </c>
      <c r="K67" s="351">
        <v>4.2957000000000001</v>
      </c>
      <c r="L67" s="333"/>
      <c r="M67" s="330">
        <v>10723.265799225881</v>
      </c>
      <c r="N67" s="330">
        <f t="shared" si="1"/>
        <v>124</v>
      </c>
      <c r="O67" s="98"/>
      <c r="P67" s="94"/>
    </row>
    <row r="68" spans="2:16">
      <c r="B68" s="177">
        <v>65</v>
      </c>
      <c r="C68" s="390" t="s">
        <v>83</v>
      </c>
      <c r="D68" s="454" t="s">
        <v>522</v>
      </c>
      <c r="E68" s="90">
        <f>'[3]VLH - détail'!F76</f>
        <v>1.832819893482923</v>
      </c>
      <c r="F68" s="90"/>
      <c r="G68" s="96">
        <f>'[3]VLH - détail'!I76</f>
        <v>0.16371629283303474</v>
      </c>
      <c r="H68" s="96">
        <f>'[3]VLH - détail'!O76</f>
        <v>1.7864029036345181</v>
      </c>
      <c r="I68" s="96">
        <f>'[3]VLH - détail'!P76</f>
        <v>4.2174662325288672</v>
      </c>
      <c r="J68" s="51">
        <f>'[3]VLnappe - détail'!R67</f>
        <v>30</v>
      </c>
      <c r="K68" s="351">
        <v>0.38819999999999999</v>
      </c>
      <c r="L68" s="333"/>
      <c r="M68" s="330">
        <v>262229.40500614792</v>
      </c>
      <c r="N68" s="330">
        <f t="shared" si="1"/>
        <v>60</v>
      </c>
      <c r="O68" s="98"/>
      <c r="P68" s="94"/>
    </row>
    <row r="69" spans="2:16">
      <c r="B69" s="177">
        <v>66</v>
      </c>
      <c r="C69" s="390" t="s">
        <v>120</v>
      </c>
      <c r="D69" s="454" t="s">
        <v>1829</v>
      </c>
      <c r="E69" s="90">
        <f>'[3]VLH - détail'!F77</f>
        <v>34.394049259459088</v>
      </c>
      <c r="F69" s="90"/>
      <c r="G69" s="96">
        <f>'[3]VLH - détail'!I77</f>
        <v>7.3805953171670241E-2</v>
      </c>
      <c r="H69" s="96">
        <f>'[3]VLH - détail'!O77</f>
        <v>0.45072403497427532</v>
      </c>
      <c r="I69" s="96">
        <f>'[3]VLH - détail'!P77</f>
        <v>0.45072403497427532</v>
      </c>
      <c r="J69" s="51">
        <f>'[3]VLnappe - détail'!R68</f>
        <v>2600</v>
      </c>
      <c r="K69" s="351">
        <v>31.9848</v>
      </c>
      <c r="L69" s="333"/>
      <c r="M69" s="330">
        <v>137.28141087642209</v>
      </c>
      <c r="N69" s="330">
        <f t="shared" si="1"/>
        <v>5200</v>
      </c>
      <c r="O69" s="98"/>
      <c r="P69" s="94"/>
    </row>
    <row r="70" spans="2:16">
      <c r="B70" s="177">
        <v>67</v>
      </c>
      <c r="C70" s="390" t="s">
        <v>121</v>
      </c>
      <c r="D70" s="454" t="s">
        <v>1713</v>
      </c>
      <c r="E70" s="90">
        <f>'[3]VLH - détail'!F78</f>
        <v>204.41607069736952</v>
      </c>
      <c r="F70" s="90"/>
      <c r="G70" s="96">
        <f>'[3]VLH - détail'!I78</f>
        <v>0.62479461662108426</v>
      </c>
      <c r="H70" s="96">
        <f>'[3]VLH - détail'!O78</f>
        <v>3.7178596696856796</v>
      </c>
      <c r="I70" s="96">
        <f>'[3]VLH - détail'!P78</f>
        <v>3.7178596696856796</v>
      </c>
      <c r="J70" s="51">
        <f>'[3]VLnappe - détail'!R69</f>
        <v>2.6</v>
      </c>
      <c r="K70" s="352">
        <v>1.2500000000000001E-2</v>
      </c>
      <c r="L70" s="97"/>
      <c r="M70" s="330">
        <v>3072.2542487719838</v>
      </c>
      <c r="N70" s="330">
        <f t="shared" si="1"/>
        <v>5.2</v>
      </c>
      <c r="O70" s="98"/>
      <c r="P70" s="94"/>
    </row>
    <row r="71" spans="2:16" ht="25.15" customHeight="1">
      <c r="B71" s="177">
        <v>68</v>
      </c>
      <c r="C71" s="390" t="s">
        <v>357</v>
      </c>
      <c r="D71" s="454" t="s">
        <v>1800</v>
      </c>
      <c r="E71" s="90">
        <f>'[3]VLH - détail'!F79</f>
        <v>1428.3611679979356</v>
      </c>
      <c r="F71" s="90"/>
      <c r="G71" s="96">
        <f>'[3]VLH - détail'!I79</f>
        <v>12.710423021821594</v>
      </c>
      <c r="H71" s="96">
        <f>'[3]VLH - détail'!O79</f>
        <v>53.602315901430899</v>
      </c>
      <c r="I71" s="96">
        <f>'[3]VLH - détail'!P79</f>
        <v>53.602315901430899</v>
      </c>
      <c r="J71" s="51">
        <f>'[3]VLnappe - détail'!R70</f>
        <v>61</v>
      </c>
      <c r="K71" s="352">
        <v>0.27960000000000002</v>
      </c>
      <c r="L71" s="97"/>
      <c r="M71" s="330">
        <v>66094.330657590806</v>
      </c>
      <c r="N71" s="330">
        <f t="shared" si="1"/>
        <v>122</v>
      </c>
      <c r="O71" s="98"/>
      <c r="P71" s="94"/>
    </row>
    <row r="72" spans="2:16" ht="30">
      <c r="B72" s="177">
        <v>69</v>
      </c>
      <c r="C72" s="390" t="s">
        <v>216</v>
      </c>
      <c r="D72" s="454" t="s">
        <v>1734</v>
      </c>
      <c r="E72" s="90">
        <f>'[3]VLH - détail'!F80</f>
        <v>410.06311427601264</v>
      </c>
      <c r="F72" s="90"/>
      <c r="G72" s="96">
        <f>'[3]VLH - détail'!I80</f>
        <v>1.5044156972875373</v>
      </c>
      <c r="H72" s="96">
        <f>'[3]VLH - détail'!O80</f>
        <v>6.3292102465827451</v>
      </c>
      <c r="I72" s="96">
        <f>'[3]VLH - détail'!P80</f>
        <v>6.3292102465827451</v>
      </c>
      <c r="J72" s="51" t="s">
        <v>514</v>
      </c>
      <c r="K72" s="354" t="s">
        <v>514</v>
      </c>
      <c r="L72" s="319"/>
      <c r="M72" s="330">
        <v>7720.1348466739355</v>
      </c>
      <c r="N72" s="330" t="s">
        <v>514</v>
      </c>
      <c r="O72" s="102" t="s">
        <v>523</v>
      </c>
      <c r="P72" s="94"/>
    </row>
    <row r="73" spans="2:16" ht="90">
      <c r="B73" s="177" t="s">
        <v>352</v>
      </c>
      <c r="C73" s="390" t="s">
        <v>358</v>
      </c>
      <c r="D73" s="454" t="s">
        <v>359</v>
      </c>
      <c r="E73" s="577" t="s">
        <v>515</v>
      </c>
      <c r="F73" s="578"/>
      <c r="G73" s="578"/>
      <c r="H73" s="578"/>
      <c r="I73" s="579"/>
      <c r="J73" s="51">
        <f>'[3]VLnappe - détail'!R72</f>
        <v>500</v>
      </c>
      <c r="K73" s="354" t="s">
        <v>515</v>
      </c>
      <c r="L73" s="319" t="s">
        <v>1525</v>
      </c>
      <c r="M73" s="330" t="s">
        <v>514</v>
      </c>
      <c r="N73" s="330">
        <f>J73*2</f>
        <v>1000</v>
      </c>
      <c r="O73" s="102" t="s">
        <v>524</v>
      </c>
      <c r="P73" s="94"/>
    </row>
    <row r="74" spans="2:16" ht="30">
      <c r="B74" s="177">
        <v>70</v>
      </c>
      <c r="C74" s="390" t="s">
        <v>218</v>
      </c>
      <c r="D74" s="454" t="s">
        <v>1721</v>
      </c>
      <c r="E74" s="90">
        <f>'[3]VLH - détail'!F82</f>
        <v>35.889258034729515</v>
      </c>
      <c r="F74" s="90"/>
      <c r="G74" s="96">
        <f>'[3]VLH - détail'!I82</f>
        <v>0.22818009110638532</v>
      </c>
      <c r="H74" s="96">
        <f>'[3]VLH - détail'!O82</f>
        <v>0.96117761066083252</v>
      </c>
      <c r="I74" s="96">
        <f>'[3]VLH - détail'!P82</f>
        <v>0.96117761066083252</v>
      </c>
      <c r="J74" s="51" t="s">
        <v>514</v>
      </c>
      <c r="K74" s="354" t="s">
        <v>514</v>
      </c>
      <c r="L74" s="332"/>
      <c r="M74" s="330">
        <v>1185.7944738284066</v>
      </c>
      <c r="N74" s="330" t="s">
        <v>514</v>
      </c>
      <c r="O74" s="102" t="s">
        <v>525</v>
      </c>
      <c r="P74" s="94"/>
    </row>
    <row r="75" spans="2:16" ht="60">
      <c r="B75" s="177" t="s">
        <v>526</v>
      </c>
      <c r="C75" s="390" t="s">
        <v>360</v>
      </c>
      <c r="D75" s="454" t="s">
        <v>1828</v>
      </c>
      <c r="E75" s="577" t="s">
        <v>515</v>
      </c>
      <c r="F75" s="578"/>
      <c r="G75" s="578"/>
      <c r="H75" s="578"/>
      <c r="I75" s="579"/>
      <c r="J75" s="51">
        <f>'[3]VLnappe - détail'!R74</f>
        <v>1500</v>
      </c>
      <c r="K75" s="354" t="s">
        <v>515</v>
      </c>
      <c r="L75" s="319" t="s">
        <v>1525</v>
      </c>
      <c r="M75" s="330" t="s">
        <v>514</v>
      </c>
      <c r="N75" s="330">
        <f>J75*2</f>
        <v>3000</v>
      </c>
      <c r="O75" s="102" t="s">
        <v>527</v>
      </c>
      <c r="P75" s="94"/>
    </row>
    <row r="76" spans="2:16" ht="30">
      <c r="B76" s="177">
        <v>71</v>
      </c>
      <c r="C76" s="390" t="s">
        <v>221</v>
      </c>
      <c r="D76" s="454" t="s">
        <v>1719</v>
      </c>
      <c r="E76" s="577" t="s">
        <v>515</v>
      </c>
      <c r="F76" s="578"/>
      <c r="G76" s="578"/>
      <c r="H76" s="578"/>
      <c r="I76" s="579"/>
      <c r="J76" s="51" t="s">
        <v>514</v>
      </c>
      <c r="K76" s="354" t="s">
        <v>514</v>
      </c>
      <c r="L76" s="332"/>
      <c r="M76" s="330" t="s">
        <v>516</v>
      </c>
      <c r="N76" s="330" t="s">
        <v>514</v>
      </c>
      <c r="O76" s="102" t="s">
        <v>528</v>
      </c>
      <c r="P76" s="94"/>
    </row>
    <row r="77" spans="2:16" ht="105">
      <c r="B77" s="177" t="s">
        <v>529</v>
      </c>
      <c r="C77" s="390" t="s">
        <v>361</v>
      </c>
      <c r="D77" s="454" t="s">
        <v>1772</v>
      </c>
      <c r="E77" s="577" t="s">
        <v>515</v>
      </c>
      <c r="F77" s="578"/>
      <c r="G77" s="578"/>
      <c r="H77" s="578"/>
      <c r="I77" s="579"/>
      <c r="J77" s="51">
        <f>'[3]VLnappe - détail'!R76</f>
        <v>150000</v>
      </c>
      <c r="K77" s="354" t="s">
        <v>515</v>
      </c>
      <c r="L77" s="319" t="s">
        <v>1525</v>
      </c>
      <c r="M77" s="330" t="s">
        <v>514</v>
      </c>
      <c r="N77" s="330">
        <f>J77*2</f>
        <v>300000</v>
      </c>
      <c r="O77" s="56" t="s">
        <v>530</v>
      </c>
      <c r="P77" s="94"/>
    </row>
    <row r="78" spans="2:16" ht="30">
      <c r="B78" s="177">
        <v>72</v>
      </c>
      <c r="C78" s="390" t="s">
        <v>223</v>
      </c>
      <c r="D78" s="454" t="s">
        <v>1729</v>
      </c>
      <c r="E78" s="577" t="s">
        <v>515</v>
      </c>
      <c r="F78" s="578"/>
      <c r="G78" s="578"/>
      <c r="H78" s="578"/>
      <c r="I78" s="579"/>
      <c r="J78" s="51" t="s">
        <v>514</v>
      </c>
      <c r="K78" s="354" t="s">
        <v>514</v>
      </c>
      <c r="L78" s="332"/>
      <c r="M78" s="330" t="s">
        <v>516</v>
      </c>
      <c r="N78" s="330" t="s">
        <v>514</v>
      </c>
      <c r="O78" s="102" t="s">
        <v>531</v>
      </c>
      <c r="P78" s="94"/>
    </row>
    <row r="79" spans="2:16" ht="105">
      <c r="B79" s="177" t="s">
        <v>532</v>
      </c>
      <c r="C79" s="390" t="s">
        <v>362</v>
      </c>
      <c r="D79" s="100" t="s">
        <v>458</v>
      </c>
      <c r="E79" s="577" t="s">
        <v>515</v>
      </c>
      <c r="F79" s="578"/>
      <c r="G79" s="578"/>
      <c r="H79" s="578"/>
      <c r="I79" s="579"/>
      <c r="J79" s="51">
        <f>'[3]VLnappe - détail'!R78</f>
        <v>250000</v>
      </c>
      <c r="K79" s="354" t="s">
        <v>515</v>
      </c>
      <c r="L79" s="319" t="s">
        <v>1525</v>
      </c>
      <c r="M79" s="330" t="s">
        <v>514</v>
      </c>
      <c r="N79" s="330">
        <f t="shared" ref="N79:N125" si="2">J79*2</f>
        <v>500000</v>
      </c>
      <c r="O79" s="103" t="s">
        <v>533</v>
      </c>
      <c r="P79" s="94"/>
    </row>
    <row r="80" spans="2:16" ht="30">
      <c r="B80" s="177">
        <v>73</v>
      </c>
      <c r="C80" s="390" t="s">
        <v>225</v>
      </c>
      <c r="D80" s="454" t="s">
        <v>1723</v>
      </c>
      <c r="E80" s="577" t="s">
        <v>515</v>
      </c>
      <c r="F80" s="578"/>
      <c r="G80" s="578"/>
      <c r="H80" s="578"/>
      <c r="I80" s="579"/>
      <c r="J80" s="51" t="s">
        <v>514</v>
      </c>
      <c r="K80" s="354" t="s">
        <v>514</v>
      </c>
      <c r="L80" s="332"/>
      <c r="M80" s="330" t="s">
        <v>516</v>
      </c>
      <c r="N80" s="330" t="s">
        <v>514</v>
      </c>
      <c r="O80" s="102" t="s">
        <v>534</v>
      </c>
      <c r="P80" s="94"/>
    </row>
    <row r="81" spans="2:16" ht="61.5" customHeight="1">
      <c r="B81" s="177">
        <v>74</v>
      </c>
      <c r="C81" s="390" t="s">
        <v>363</v>
      </c>
      <c r="D81" s="454" t="s">
        <v>1871</v>
      </c>
      <c r="E81" s="577" t="s">
        <v>515</v>
      </c>
      <c r="F81" s="578"/>
      <c r="G81" s="578"/>
      <c r="H81" s="578"/>
      <c r="I81" s="579"/>
      <c r="J81" s="51">
        <f>'[3]VLnappe - détail'!R80</f>
        <v>50000</v>
      </c>
      <c r="K81" s="354" t="s">
        <v>515</v>
      </c>
      <c r="L81" s="319" t="s">
        <v>1525</v>
      </c>
      <c r="M81" s="330" t="s">
        <v>516</v>
      </c>
      <c r="N81" s="330">
        <f t="shared" si="2"/>
        <v>100000</v>
      </c>
      <c r="O81" s="103" t="s">
        <v>535</v>
      </c>
      <c r="P81" s="94"/>
    </row>
    <row r="82" spans="2:16" ht="75">
      <c r="B82" s="177">
        <v>75</v>
      </c>
      <c r="C82" s="390" t="s">
        <v>364</v>
      </c>
      <c r="D82" s="454" t="s">
        <v>1872</v>
      </c>
      <c r="E82" s="577" t="s">
        <v>515</v>
      </c>
      <c r="F82" s="578"/>
      <c r="G82" s="578"/>
      <c r="H82" s="578"/>
      <c r="I82" s="579"/>
      <c r="J82" s="51">
        <f>'[3]VLnappe - détail'!R81</f>
        <v>100</v>
      </c>
      <c r="K82" s="354" t="s">
        <v>515</v>
      </c>
      <c r="L82" s="319" t="s">
        <v>1525</v>
      </c>
      <c r="M82" s="330" t="s">
        <v>516</v>
      </c>
      <c r="N82" s="330">
        <f t="shared" si="2"/>
        <v>200</v>
      </c>
      <c r="O82" s="102" t="s">
        <v>536</v>
      </c>
      <c r="P82" s="94"/>
    </row>
    <row r="83" spans="2:16">
      <c r="B83" s="177">
        <v>76</v>
      </c>
      <c r="C83" s="95" t="s">
        <v>80</v>
      </c>
      <c r="D83" s="454" t="s">
        <v>1701</v>
      </c>
      <c r="E83" s="90">
        <f>'[3]VLH - détail'!F91</f>
        <v>1000000</v>
      </c>
      <c r="F83" s="90"/>
      <c r="G83" s="96">
        <f>'[3]VLH - détail'!I91</f>
        <v>2904.9020293056128</v>
      </c>
      <c r="H83" s="96">
        <f>'[3]VLH - détail'!O91</f>
        <v>12249.239915349706</v>
      </c>
      <c r="I83" s="96">
        <f>'[3]VLH - détail'!P91</f>
        <v>12249.239915349706</v>
      </c>
      <c r="J83" s="51">
        <f>'[3]VLnappe - détail'!R82</f>
        <v>410</v>
      </c>
      <c r="K83" s="352">
        <v>1.9155</v>
      </c>
      <c r="L83" s="97"/>
      <c r="M83" s="330">
        <v>14778842.432476809</v>
      </c>
      <c r="N83" s="330">
        <f t="shared" si="2"/>
        <v>820</v>
      </c>
      <c r="O83" s="98"/>
      <c r="P83" s="94"/>
    </row>
    <row r="84" spans="2:16">
      <c r="B84" s="177">
        <v>77</v>
      </c>
      <c r="C84" s="390" t="s">
        <v>81</v>
      </c>
      <c r="D84" s="454" t="s">
        <v>1858</v>
      </c>
      <c r="E84" s="90">
        <f>'[3]VLH - détail'!F92</f>
        <v>132189.78663510387</v>
      </c>
      <c r="F84" s="90"/>
      <c r="G84" s="96">
        <f>'[3]VLH - détail'!I92</f>
        <v>1551.7523352655483</v>
      </c>
      <c r="H84" s="96">
        <f>'[3]VLH - détail'!O92</f>
        <v>6561.4516336929273</v>
      </c>
      <c r="I84" s="96">
        <f>'[3]VLH - détail'!P92</f>
        <v>6561.4516336929273</v>
      </c>
      <c r="J84" s="51">
        <f>'[3]VLnappe - détail'!R83</f>
        <v>20000</v>
      </c>
      <c r="K84" s="352">
        <v>91.834100000000007</v>
      </c>
      <c r="L84" s="97"/>
      <c r="M84" s="330">
        <v>8110329.1673922986</v>
      </c>
      <c r="N84" s="330">
        <f t="shared" si="2"/>
        <v>40000</v>
      </c>
      <c r="O84" s="98"/>
      <c r="P84" s="94"/>
    </row>
    <row r="85" spans="2:16" ht="15" customHeight="1">
      <c r="B85" s="177">
        <v>78</v>
      </c>
      <c r="C85" s="390" t="s">
        <v>58</v>
      </c>
      <c r="D85" s="454" t="s">
        <v>1699</v>
      </c>
      <c r="E85" s="90">
        <f>'[3]VLH - détail'!F93</f>
        <v>102891.31427988413</v>
      </c>
      <c r="F85" s="90"/>
      <c r="G85" s="96">
        <f>'[3]VLH - détail'!I93</f>
        <v>46.239879433657372</v>
      </c>
      <c r="H85" s="96">
        <f>'[3]VLH - détail'!O93</f>
        <v>7638.3524440680731</v>
      </c>
      <c r="I85" s="96">
        <f>'[3]VLH - détail'!P93</f>
        <v>7638.3524440680731</v>
      </c>
      <c r="J85" s="51">
        <f>'[3]VLnappe - détail'!R84</f>
        <v>5600</v>
      </c>
      <c r="K85" s="352">
        <v>62.624699999999997</v>
      </c>
      <c r="L85" s="97"/>
      <c r="M85" s="330">
        <v>9503559.0253671128</v>
      </c>
      <c r="N85" s="330">
        <f t="shared" si="2"/>
        <v>11200</v>
      </c>
      <c r="O85" s="98"/>
      <c r="P85" s="94"/>
    </row>
    <row r="86" spans="2:16">
      <c r="B86" s="177">
        <v>79</v>
      </c>
      <c r="C86" s="390" t="s">
        <v>61</v>
      </c>
      <c r="D86" s="454" t="s">
        <v>1715</v>
      </c>
      <c r="E86" s="90">
        <f>'[3]VLH - détail'!F94</f>
        <v>182888.49485101629</v>
      </c>
      <c r="F86" s="90"/>
      <c r="G86" s="96">
        <f>'[3]VLH - détail'!I94</f>
        <v>76.471970905360237</v>
      </c>
      <c r="H86" s="96">
        <f>'[3]VLH - détail'!O94</f>
        <v>45976.789528208894</v>
      </c>
      <c r="I86" s="96">
        <f>'[3]VLH - détail'!P94</f>
        <v>45976.789528208894</v>
      </c>
      <c r="J86" s="51">
        <f>'[3]VLnappe - détail'!R85</f>
        <v>14000</v>
      </c>
      <c r="K86" s="352">
        <v>64.782399999999996</v>
      </c>
      <c r="L86" s="97"/>
      <c r="M86" s="330">
        <v>58127553.583142787</v>
      </c>
      <c r="N86" s="330">
        <f t="shared" si="2"/>
        <v>28000</v>
      </c>
      <c r="O86" s="98"/>
      <c r="P86" s="94"/>
    </row>
    <row r="87" spans="2:16">
      <c r="B87" s="177">
        <v>80</v>
      </c>
      <c r="C87" s="390" t="s">
        <v>189</v>
      </c>
      <c r="D87" s="454" t="s">
        <v>1911</v>
      </c>
      <c r="E87" s="90">
        <f>'[3]VLH - détail'!F95</f>
        <v>81.663115935719944</v>
      </c>
      <c r="F87" s="90"/>
      <c r="G87" s="96">
        <f>'[3]VLH - détail'!I95</f>
        <v>1.6311214258584165E-2</v>
      </c>
      <c r="H87" s="96">
        <f>'[3]VLH - détail'!O95</f>
        <v>81.663115935719944</v>
      </c>
      <c r="I87" s="96">
        <f>'[3]VLH - détail'!P95</f>
        <v>151.05058289660283</v>
      </c>
      <c r="J87" s="51">
        <f>'[3]VLnappe - détail'!R86</f>
        <v>0.1</v>
      </c>
      <c r="K87" s="352">
        <v>5.0000000000000001E-4</v>
      </c>
      <c r="L87" s="97"/>
      <c r="M87" s="330" t="s">
        <v>520</v>
      </c>
      <c r="N87" s="330">
        <f t="shared" si="2"/>
        <v>0.2</v>
      </c>
      <c r="O87" s="98"/>
      <c r="P87" s="94"/>
    </row>
    <row r="88" spans="2:16">
      <c r="B88" s="177">
        <v>81</v>
      </c>
      <c r="C88" s="95" t="s">
        <v>191</v>
      </c>
      <c r="D88" s="454" t="s">
        <v>1651</v>
      </c>
      <c r="E88" s="90">
        <f>'[3]VLH - détail'!F96</f>
        <v>116.76512301839577</v>
      </c>
      <c r="F88" s="90"/>
      <c r="G88" s="96">
        <f>'[3]VLH - détail'!I96</f>
        <v>3.5306628824072255E-2</v>
      </c>
      <c r="H88" s="96">
        <f>'[3]VLH - détail'!O96</f>
        <v>116.76512301839577</v>
      </c>
      <c r="I88" s="96">
        <f>'[3]VLH - détail'!P96</f>
        <v>534.07170381298852</v>
      </c>
      <c r="J88" s="51">
        <f>'[3]VLnappe - détail'!R87</f>
        <v>2.5</v>
      </c>
      <c r="K88" s="352">
        <v>2.4500000000000001E-2</v>
      </c>
      <c r="L88" s="97"/>
      <c r="M88" s="330" t="s">
        <v>520</v>
      </c>
      <c r="N88" s="330">
        <f t="shared" si="2"/>
        <v>5</v>
      </c>
      <c r="O88" s="98"/>
      <c r="P88" s="94"/>
    </row>
    <row r="89" spans="2:16" ht="30">
      <c r="B89" s="177">
        <v>82</v>
      </c>
      <c r="C89" s="390" t="s">
        <v>192</v>
      </c>
      <c r="D89" s="454" t="s">
        <v>1838</v>
      </c>
      <c r="E89" s="90">
        <f>'[3]VLH - détail'!F97</f>
        <v>11676.512301839577</v>
      </c>
      <c r="F89" s="90"/>
      <c r="G89" s="96">
        <f>'[3]VLH - détail'!I97</f>
        <v>4997.0585484187868</v>
      </c>
      <c r="H89" s="96">
        <f>'[3]VLH - détail'!O97</f>
        <v>11676.512301839577</v>
      </c>
      <c r="I89" s="96">
        <f>'[3]VLH - détail'!P97</f>
        <v>53407.170381298849</v>
      </c>
      <c r="J89" s="51">
        <f>'[3]VLnappe - détail'!R88</f>
        <v>300</v>
      </c>
      <c r="K89" s="352">
        <v>1.4096</v>
      </c>
      <c r="L89" s="97"/>
      <c r="M89" s="330" t="s">
        <v>520</v>
      </c>
      <c r="N89" s="330">
        <f t="shared" si="2"/>
        <v>600</v>
      </c>
      <c r="O89" s="98"/>
      <c r="P89" s="94"/>
    </row>
    <row r="90" spans="2:16">
      <c r="B90" s="177">
        <v>83</v>
      </c>
      <c r="C90" s="390" t="s">
        <v>365</v>
      </c>
      <c r="D90" s="454" t="s">
        <v>1806</v>
      </c>
      <c r="E90" s="90">
        <f>'[3]VLH - détail'!F98</f>
        <v>5838.2561509197885</v>
      </c>
      <c r="F90" s="90"/>
      <c r="G90" s="96">
        <f>'[3]VLH - détail'!I98</f>
        <v>1.9769159154842482</v>
      </c>
      <c r="H90" s="96">
        <f>'[3]VLH - détail'!O98</f>
        <v>5838.2561509197885</v>
      </c>
      <c r="I90" s="96">
        <f>'[3]VLH - détail'!P98</f>
        <v>26703.585190649424</v>
      </c>
      <c r="J90" s="51">
        <f>'[3]VLnappe - détail'!R89</f>
        <v>310</v>
      </c>
      <c r="K90" s="352">
        <v>56.515300000000003</v>
      </c>
      <c r="L90" s="97"/>
      <c r="M90" s="330" t="s">
        <v>520</v>
      </c>
      <c r="N90" s="330">
        <f t="shared" si="2"/>
        <v>620</v>
      </c>
      <c r="O90" s="98"/>
      <c r="P90" s="94"/>
    </row>
    <row r="91" spans="2:16">
      <c r="B91" s="177">
        <v>84</v>
      </c>
      <c r="C91" s="95" t="s">
        <v>193</v>
      </c>
      <c r="D91" s="454" t="s">
        <v>1635</v>
      </c>
      <c r="E91" s="90">
        <f>'[3]VLH - détail'!F99</f>
        <v>7005.9073811037451</v>
      </c>
      <c r="F91" s="90"/>
      <c r="G91" s="96">
        <f>'[3]VLH - détail'!I99</f>
        <v>1.8545866093730441</v>
      </c>
      <c r="H91" s="96">
        <f>'[3]VLH - détail'!O99</f>
        <v>7005.9073811037451</v>
      </c>
      <c r="I91" s="96">
        <f>'[3]VLH - détail'!P99</f>
        <v>32044.30222877931</v>
      </c>
      <c r="J91" s="51">
        <f>'[3]VLnappe - détail'!R90</f>
        <v>590</v>
      </c>
      <c r="K91" s="352">
        <v>3.4592999999999998</v>
      </c>
      <c r="L91" s="97"/>
      <c r="M91" s="330" t="s">
        <v>520</v>
      </c>
      <c r="N91" s="330">
        <f t="shared" si="2"/>
        <v>1180</v>
      </c>
      <c r="O91" s="98"/>
      <c r="P91" s="94"/>
    </row>
    <row r="92" spans="2:16">
      <c r="B92" s="177">
        <v>85</v>
      </c>
      <c r="C92" s="390" t="s">
        <v>62</v>
      </c>
      <c r="D92" s="454" t="s">
        <v>1718</v>
      </c>
      <c r="E92" s="90">
        <f>'[3]VLH - détail'!F100</f>
        <v>2765.3862817462082</v>
      </c>
      <c r="F92" s="90"/>
      <c r="G92" s="96">
        <f>'[3]VLH - détail'!I100</f>
        <v>23.083695369697121</v>
      </c>
      <c r="H92" s="96">
        <f>'[3]VLH - détail'!O100</f>
        <v>97.323771501693329</v>
      </c>
      <c r="I92" s="96">
        <f>'[3]VLH - détail'!P100</f>
        <v>97.323771501693329</v>
      </c>
      <c r="J92" s="51">
        <f>'[3]VLnappe - détail'!R91</f>
        <v>130</v>
      </c>
      <c r="K92" s="352">
        <v>0.60029999999999994</v>
      </c>
      <c r="L92" s="97"/>
      <c r="M92" s="330">
        <v>118955.62780777547</v>
      </c>
      <c r="N92" s="330">
        <f t="shared" si="2"/>
        <v>260</v>
      </c>
      <c r="O92" s="98"/>
      <c r="P92" s="94"/>
    </row>
    <row r="93" spans="2:16">
      <c r="B93" s="177">
        <v>86</v>
      </c>
      <c r="C93" s="48" t="s">
        <v>366</v>
      </c>
      <c r="D93" s="454" t="s">
        <v>1661</v>
      </c>
      <c r="E93" s="577" t="s">
        <v>515</v>
      </c>
      <c r="F93" s="578"/>
      <c r="G93" s="578"/>
      <c r="H93" s="578"/>
      <c r="I93" s="579"/>
      <c r="J93" s="51">
        <f>'[3]VLnappe - détail'!R92</f>
        <v>39</v>
      </c>
      <c r="K93" s="354">
        <v>2.4737</v>
      </c>
      <c r="L93" s="332"/>
      <c r="M93" s="330" t="s">
        <v>516</v>
      </c>
      <c r="N93" s="330">
        <f t="shared" si="2"/>
        <v>78</v>
      </c>
      <c r="O93" s="98"/>
      <c r="P93" s="94"/>
    </row>
    <row r="94" spans="2:16">
      <c r="B94" s="177">
        <v>87</v>
      </c>
      <c r="C94" s="48" t="s">
        <v>367</v>
      </c>
      <c r="D94" s="454" t="s">
        <v>1673</v>
      </c>
      <c r="E94" s="577" t="s">
        <v>515</v>
      </c>
      <c r="F94" s="578"/>
      <c r="G94" s="578"/>
      <c r="H94" s="578"/>
      <c r="I94" s="579"/>
      <c r="J94" s="51">
        <f>'[3]VLnappe - détail'!R93</f>
        <v>39</v>
      </c>
      <c r="K94" s="354">
        <v>2.4737</v>
      </c>
      <c r="L94" s="332"/>
      <c r="M94" s="330" t="s">
        <v>516</v>
      </c>
      <c r="N94" s="330">
        <f t="shared" si="2"/>
        <v>78</v>
      </c>
      <c r="O94" s="98"/>
      <c r="P94" s="94"/>
    </row>
    <row r="95" spans="2:16" ht="60">
      <c r="B95" s="177">
        <v>88</v>
      </c>
      <c r="C95" s="390" t="s">
        <v>368</v>
      </c>
      <c r="D95" s="454" t="s">
        <v>1875</v>
      </c>
      <c r="E95" s="577" t="s">
        <v>515</v>
      </c>
      <c r="F95" s="578"/>
      <c r="G95" s="578"/>
      <c r="H95" s="578"/>
      <c r="I95" s="579"/>
      <c r="J95" s="51">
        <f>'[3]VLnappe - détail'!R94</f>
        <v>2</v>
      </c>
      <c r="K95" s="352">
        <v>5.9200000000000003E-2</v>
      </c>
      <c r="L95" s="97"/>
      <c r="M95" s="330" t="s">
        <v>516</v>
      </c>
      <c r="N95" s="330">
        <f t="shared" si="2"/>
        <v>4</v>
      </c>
      <c r="O95" s="104" t="s">
        <v>537</v>
      </c>
      <c r="P95" s="94"/>
    </row>
    <row r="96" spans="2:16">
      <c r="B96" s="177">
        <v>89</v>
      </c>
      <c r="C96" s="390" t="s">
        <v>369</v>
      </c>
      <c r="D96" s="454" t="s">
        <v>1898</v>
      </c>
      <c r="E96" s="577" t="s">
        <v>515</v>
      </c>
      <c r="F96" s="578"/>
      <c r="G96" s="578"/>
      <c r="H96" s="578"/>
      <c r="I96" s="579"/>
      <c r="J96" s="51">
        <f>'[3]VLnappe - détail'!R95</f>
        <v>19</v>
      </c>
      <c r="K96" s="354">
        <v>0.47</v>
      </c>
      <c r="L96" s="332"/>
      <c r="M96" s="330" t="s">
        <v>516</v>
      </c>
      <c r="N96" s="330">
        <f t="shared" si="2"/>
        <v>38</v>
      </c>
      <c r="O96" s="98"/>
      <c r="P96" s="94"/>
    </row>
    <row r="97" spans="2:16">
      <c r="B97" s="177">
        <v>90</v>
      </c>
      <c r="C97" s="390" t="s">
        <v>48</v>
      </c>
      <c r="D97" s="454" t="s">
        <v>1619</v>
      </c>
      <c r="E97" s="90">
        <f>'[3]VLH - détail'!F105</f>
        <v>20.319793706751607</v>
      </c>
      <c r="F97" s="90"/>
      <c r="G97" s="96">
        <f>'[3]VLH - détail'!I105</f>
        <v>1.383348914369399E-2</v>
      </c>
      <c r="H97" s="96">
        <f>'[3]VLH - détail'!O105</f>
        <v>0.61759195926919686</v>
      </c>
      <c r="I97" s="96">
        <f>'[3]VLH - détail'!P105</f>
        <v>0.61759195926919686</v>
      </c>
      <c r="J97" s="51">
        <f>'[3]VLnappe - détail'!R96</f>
        <v>7.5999999999999998E-2</v>
      </c>
      <c r="K97" s="352">
        <v>2.2000000000000001E-3</v>
      </c>
      <c r="L97" s="97"/>
      <c r="M97" s="330">
        <v>75.44516621158877</v>
      </c>
      <c r="N97" s="330">
        <f t="shared" si="2"/>
        <v>0.152</v>
      </c>
      <c r="O97" s="98"/>
      <c r="P97" s="94"/>
    </row>
    <row r="98" spans="2:16">
      <c r="B98" s="177">
        <v>91</v>
      </c>
      <c r="C98" s="390" t="s">
        <v>57</v>
      </c>
      <c r="D98" s="454" t="s">
        <v>1685</v>
      </c>
      <c r="E98" s="90">
        <f>'[3]VLH - détail'!F106</f>
        <v>23353.024603679154</v>
      </c>
      <c r="F98" s="90"/>
      <c r="G98" s="96">
        <f>'[3]VLH - détail'!I106</f>
        <v>7.9058585632262748</v>
      </c>
      <c r="H98" s="96">
        <f>'[3]VLH - détail'!O106</f>
        <v>23353.024603679154</v>
      </c>
      <c r="I98" s="96">
        <f>'[3]VLH - détail'!P106</f>
        <v>106814.3407625977</v>
      </c>
      <c r="J98" s="51">
        <f>'[3]VLnappe - détail'!R97</f>
        <v>2000</v>
      </c>
      <c r="K98" s="352">
        <v>10.8942</v>
      </c>
      <c r="L98" s="97"/>
      <c r="M98" s="330" t="s">
        <v>520</v>
      </c>
      <c r="N98" s="330">
        <f t="shared" si="2"/>
        <v>4000</v>
      </c>
      <c r="O98" s="98"/>
      <c r="P98" s="94"/>
    </row>
    <row r="99" spans="2:16">
      <c r="B99" s="177">
        <v>92</v>
      </c>
      <c r="C99" s="394" t="s">
        <v>370</v>
      </c>
      <c r="D99" s="454" t="s">
        <v>1630</v>
      </c>
      <c r="E99" s="425">
        <v>19290</v>
      </c>
      <c r="F99" s="395">
        <v>3.145</v>
      </c>
      <c r="G99" s="395">
        <v>3.1629999999999998</v>
      </c>
      <c r="H99" s="425">
        <v>36.26</v>
      </c>
      <c r="I99" s="425">
        <v>36.99</v>
      </c>
      <c r="J99" s="51">
        <f>'[3]VLnappe - détail'!R98</f>
        <v>150</v>
      </c>
      <c r="K99" s="352">
        <v>40.92</v>
      </c>
      <c r="L99" s="97"/>
      <c r="M99" s="330">
        <v>254.3</v>
      </c>
      <c r="N99" s="330">
        <f t="shared" si="2"/>
        <v>300</v>
      </c>
      <c r="O99" s="98"/>
      <c r="P99" s="94"/>
    </row>
    <row r="100" spans="2:16">
      <c r="B100" s="177">
        <v>93</v>
      </c>
      <c r="C100" s="95" t="s">
        <v>371</v>
      </c>
      <c r="D100" s="454" t="s">
        <v>1684</v>
      </c>
      <c r="E100" s="425">
        <v>17400</v>
      </c>
      <c r="F100" s="395">
        <v>1.387</v>
      </c>
      <c r="G100" s="395">
        <v>1.3939999999999999</v>
      </c>
      <c r="H100" s="425">
        <v>15.95</v>
      </c>
      <c r="I100" s="425">
        <v>16.29</v>
      </c>
      <c r="J100" s="51">
        <f>'[3]VLnappe - détail'!R99</f>
        <v>150</v>
      </c>
      <c r="K100" s="352">
        <v>22.2</v>
      </c>
      <c r="L100" s="97"/>
      <c r="M100" s="330">
        <v>207.3</v>
      </c>
      <c r="N100" s="330">
        <f t="shared" si="2"/>
        <v>300</v>
      </c>
      <c r="O100" s="98"/>
      <c r="P100" s="94"/>
    </row>
    <row r="101" spans="2:16">
      <c r="B101" s="177">
        <v>94</v>
      </c>
      <c r="C101" s="390" t="s">
        <v>372</v>
      </c>
      <c r="D101" s="454" t="s">
        <v>1913</v>
      </c>
      <c r="E101" s="577" t="s">
        <v>515</v>
      </c>
      <c r="F101" s="578"/>
      <c r="G101" s="578"/>
      <c r="H101" s="578"/>
      <c r="I101" s="579"/>
      <c r="J101" s="51">
        <f>'[3]VLnappe - détail'!R100</f>
        <v>260</v>
      </c>
      <c r="K101" s="352">
        <v>218.21</v>
      </c>
      <c r="L101" s="97"/>
      <c r="M101" s="330" t="s">
        <v>516</v>
      </c>
      <c r="N101" s="330">
        <f t="shared" si="2"/>
        <v>520</v>
      </c>
      <c r="O101" s="98"/>
      <c r="P101" s="94"/>
    </row>
    <row r="102" spans="2:16">
      <c r="B102" s="177">
        <v>95</v>
      </c>
      <c r="C102" s="390" t="s">
        <v>373</v>
      </c>
      <c r="D102" s="454" t="s">
        <v>1930</v>
      </c>
      <c r="E102" s="577" t="s">
        <v>515</v>
      </c>
      <c r="F102" s="578"/>
      <c r="G102" s="578"/>
      <c r="H102" s="578"/>
      <c r="I102" s="579"/>
      <c r="J102" s="51">
        <f>'[3]VLnappe - détail'!R101</f>
        <v>260</v>
      </c>
      <c r="K102" s="352">
        <v>286.74</v>
      </c>
      <c r="L102" s="97"/>
      <c r="M102" s="330" t="s">
        <v>516</v>
      </c>
      <c r="N102" s="330">
        <f t="shared" si="2"/>
        <v>520</v>
      </c>
      <c r="O102" s="98"/>
      <c r="P102" s="94"/>
    </row>
    <row r="103" spans="2:16" ht="45">
      <c r="B103" s="177">
        <v>96</v>
      </c>
      <c r="C103" s="390" t="s">
        <v>374</v>
      </c>
      <c r="D103" s="454" t="s">
        <v>1680</v>
      </c>
      <c r="E103" s="577" t="s">
        <v>515</v>
      </c>
      <c r="F103" s="578"/>
      <c r="G103" s="578"/>
      <c r="H103" s="578"/>
      <c r="I103" s="579"/>
      <c r="J103" s="51" t="str">
        <f>'[3]VLnappe - détail'!R102</f>
        <v>NA</v>
      </c>
      <c r="K103" s="354" t="s">
        <v>515</v>
      </c>
      <c r="L103" s="319" t="s">
        <v>1524</v>
      </c>
      <c r="M103" s="330" t="s">
        <v>516</v>
      </c>
      <c r="N103" s="330" t="s">
        <v>515</v>
      </c>
      <c r="O103" s="98"/>
      <c r="P103" s="94"/>
    </row>
    <row r="104" spans="2:16" ht="45">
      <c r="B104" s="177">
        <v>97</v>
      </c>
      <c r="C104" s="95" t="s">
        <v>375</v>
      </c>
      <c r="D104" s="454" t="s">
        <v>1821</v>
      </c>
      <c r="E104" s="577" t="s">
        <v>515</v>
      </c>
      <c r="F104" s="578"/>
      <c r="G104" s="578"/>
      <c r="H104" s="578"/>
      <c r="I104" s="579"/>
      <c r="J104" s="51" t="str">
        <f>'[3]VLnappe - détail'!R103</f>
        <v>NA</v>
      </c>
      <c r="K104" s="354" t="s">
        <v>515</v>
      </c>
      <c r="L104" s="319" t="s">
        <v>1524</v>
      </c>
      <c r="M104" s="330" t="s">
        <v>516</v>
      </c>
      <c r="N104" s="330" t="s">
        <v>515</v>
      </c>
      <c r="O104" s="98"/>
      <c r="P104" s="94"/>
    </row>
    <row r="105" spans="2:16" ht="45" customHeight="1">
      <c r="B105" s="177">
        <v>98</v>
      </c>
      <c r="C105" s="390" t="s">
        <v>376</v>
      </c>
      <c r="D105" s="454" t="s">
        <v>1688</v>
      </c>
      <c r="E105" s="577" t="s">
        <v>515</v>
      </c>
      <c r="F105" s="578"/>
      <c r="G105" s="578"/>
      <c r="H105" s="578"/>
      <c r="I105" s="579"/>
      <c r="J105" s="51" t="str">
        <f>'[3]VLnappe - détail'!R104</f>
        <v>NA</v>
      </c>
      <c r="K105" s="354" t="s">
        <v>515</v>
      </c>
      <c r="L105" s="319" t="s">
        <v>1524</v>
      </c>
      <c r="M105" s="330" t="s">
        <v>516</v>
      </c>
      <c r="N105" s="330" t="s">
        <v>515</v>
      </c>
      <c r="O105" s="209" t="s">
        <v>1508</v>
      </c>
      <c r="P105" s="94"/>
    </row>
    <row r="106" spans="2:16" ht="45">
      <c r="B106" s="177">
        <v>99</v>
      </c>
      <c r="C106" s="390" t="s">
        <v>377</v>
      </c>
      <c r="D106" s="454" t="s">
        <v>1795</v>
      </c>
      <c r="E106" s="577" t="s">
        <v>515</v>
      </c>
      <c r="F106" s="578"/>
      <c r="G106" s="578"/>
      <c r="H106" s="578"/>
      <c r="I106" s="579"/>
      <c r="J106" s="51" t="s">
        <v>515</v>
      </c>
      <c r="K106" s="354" t="s">
        <v>515</v>
      </c>
      <c r="L106" s="319" t="s">
        <v>1524</v>
      </c>
      <c r="M106" s="330" t="s">
        <v>516</v>
      </c>
      <c r="N106" s="330" t="s">
        <v>515</v>
      </c>
      <c r="O106" s="105" t="s">
        <v>538</v>
      </c>
      <c r="P106" s="94"/>
    </row>
    <row r="107" spans="2:16">
      <c r="B107" s="177">
        <v>100</v>
      </c>
      <c r="C107" s="48" t="s">
        <v>378</v>
      </c>
      <c r="D107" s="454" t="s">
        <v>1711</v>
      </c>
      <c r="E107" s="577" t="s">
        <v>515</v>
      </c>
      <c r="F107" s="578"/>
      <c r="G107" s="578"/>
      <c r="H107" s="578"/>
      <c r="I107" s="579"/>
      <c r="J107" s="51">
        <f>'[3]VLnappe - détail'!R106</f>
        <v>260</v>
      </c>
      <c r="K107" s="352">
        <v>41.302199999999999</v>
      </c>
      <c r="L107" s="97"/>
      <c r="M107" s="330" t="s">
        <v>516</v>
      </c>
      <c r="N107" s="330">
        <f t="shared" si="2"/>
        <v>520</v>
      </c>
      <c r="O107" s="98"/>
      <c r="P107" s="94"/>
    </row>
    <row r="108" spans="2:16">
      <c r="B108" s="177">
        <v>101</v>
      </c>
      <c r="C108" s="390" t="s">
        <v>379</v>
      </c>
      <c r="D108" s="454" t="s">
        <v>1870</v>
      </c>
      <c r="E108" s="577" t="s">
        <v>515</v>
      </c>
      <c r="F108" s="578"/>
      <c r="G108" s="578"/>
      <c r="H108" s="578"/>
      <c r="I108" s="579"/>
      <c r="J108" s="51">
        <f>'[3]VLnappe - détail'!R107</f>
        <v>1000</v>
      </c>
      <c r="K108" s="352">
        <v>474.83</v>
      </c>
      <c r="L108" s="97"/>
      <c r="M108" s="330" t="s">
        <v>516</v>
      </c>
      <c r="N108" s="330">
        <f t="shared" si="2"/>
        <v>2000</v>
      </c>
      <c r="O108" s="98"/>
      <c r="P108" s="94"/>
    </row>
    <row r="109" spans="2:16">
      <c r="B109" s="177">
        <v>102</v>
      </c>
      <c r="C109" s="390" t="s">
        <v>113</v>
      </c>
      <c r="D109" s="454" t="s">
        <v>1758</v>
      </c>
      <c r="E109" s="90">
        <f>'[3]VLH - détail'!F117</f>
        <v>46505.798913669598</v>
      </c>
      <c r="F109" s="90"/>
      <c r="G109" s="96">
        <f>'[3]VLH - détail'!I117</f>
        <v>24.01941644240625</v>
      </c>
      <c r="H109" s="96">
        <f>'[3]VLH - détail'!O117</f>
        <v>46045.773936902682</v>
      </c>
      <c r="I109" s="96">
        <f>'[3]VLH - détail'!P117</f>
        <v>212808.99297273095</v>
      </c>
      <c r="J109" s="51">
        <f>'[3]VLnappe - détail'!R108</f>
        <v>16</v>
      </c>
      <c r="K109" s="352">
        <v>11.1365</v>
      </c>
      <c r="L109" s="97"/>
      <c r="M109" s="330" t="s">
        <v>520</v>
      </c>
      <c r="N109" s="330">
        <f t="shared" si="2"/>
        <v>32</v>
      </c>
      <c r="O109" s="98"/>
      <c r="P109" s="94"/>
    </row>
    <row r="110" spans="2:16">
      <c r="B110" s="177">
        <v>103</v>
      </c>
      <c r="C110" s="390" t="s">
        <v>114</v>
      </c>
      <c r="D110" s="454" t="s">
        <v>1793</v>
      </c>
      <c r="E110" s="90">
        <f>'[3]VLH - détail'!F118</f>
        <v>107789.24049059166</v>
      </c>
      <c r="F110" s="90"/>
      <c r="G110" s="96">
        <f>'[3]VLH - détail'!I118</f>
        <v>134.55347642306737</v>
      </c>
      <c r="H110" s="96">
        <f>'[3]VLH - détail'!O118</f>
        <v>95273.381506507925</v>
      </c>
      <c r="I110" s="96">
        <f>'[3]VLH - détail'!P118</f>
        <v>687965.68187813996</v>
      </c>
      <c r="J110" s="51">
        <f>'[3]VLnappe - détail'!R109</f>
        <v>15000</v>
      </c>
      <c r="K110" s="352">
        <v>693.60019999999997</v>
      </c>
      <c r="L110" s="97"/>
      <c r="M110" s="330" t="s">
        <v>520</v>
      </c>
      <c r="N110" s="330">
        <f t="shared" si="2"/>
        <v>30000</v>
      </c>
      <c r="O110" s="98"/>
      <c r="P110" s="94"/>
    </row>
    <row r="111" spans="2:16">
      <c r="B111" s="177">
        <v>104</v>
      </c>
      <c r="C111" s="390" t="s">
        <v>115</v>
      </c>
      <c r="D111" s="454" t="s">
        <v>1802</v>
      </c>
      <c r="E111" s="90">
        <f>'[3]VLH - détail'!F119</f>
        <v>11199.129919423856</v>
      </c>
      <c r="F111" s="90"/>
      <c r="G111" s="96">
        <f>'[3]VLH - détail'!I119</f>
        <v>4.099044215689216</v>
      </c>
      <c r="H111" s="96">
        <f>'[3]VLH - détail'!O119</f>
        <v>7936.1260786617704</v>
      </c>
      <c r="I111" s="96">
        <f>'[3]VLH - détail'!P119</f>
        <v>50662.30564119522</v>
      </c>
      <c r="J111" s="51">
        <f>'[3]VLnappe - détail'!R110</f>
        <v>900</v>
      </c>
      <c r="K111" s="352">
        <v>338.31909999999999</v>
      </c>
      <c r="L111" s="97"/>
      <c r="M111" s="330" t="s">
        <v>520</v>
      </c>
      <c r="N111" s="330">
        <f t="shared" si="2"/>
        <v>1800</v>
      </c>
      <c r="O111" s="98"/>
      <c r="P111" s="94"/>
    </row>
    <row r="112" spans="2:16">
      <c r="B112" s="177">
        <v>105</v>
      </c>
      <c r="C112" s="390" t="s">
        <v>380</v>
      </c>
      <c r="D112" s="454" t="s">
        <v>381</v>
      </c>
      <c r="E112" s="577" t="s">
        <v>515</v>
      </c>
      <c r="F112" s="578"/>
      <c r="G112" s="578"/>
      <c r="H112" s="578"/>
      <c r="I112" s="579"/>
      <c r="J112" s="51">
        <f>'[3]VLnappe - détail'!R111</f>
        <v>0.1</v>
      </c>
      <c r="K112" s="352">
        <v>0.13</v>
      </c>
      <c r="L112" s="97"/>
      <c r="M112" s="330" t="s">
        <v>516</v>
      </c>
      <c r="N112" s="330">
        <f t="shared" si="2"/>
        <v>0.2</v>
      </c>
      <c r="O112" s="98"/>
      <c r="P112" s="94"/>
    </row>
    <row r="113" spans="2:16">
      <c r="B113" s="177">
        <v>106</v>
      </c>
      <c r="C113" s="390" t="s">
        <v>382</v>
      </c>
      <c r="D113" s="454" t="s">
        <v>1788</v>
      </c>
      <c r="E113" s="577" t="s">
        <v>515</v>
      </c>
      <c r="F113" s="578"/>
      <c r="G113" s="578"/>
      <c r="H113" s="578"/>
      <c r="I113" s="579"/>
      <c r="J113" s="51">
        <f>'[3]VLnappe - détail'!R112</f>
        <v>7.9</v>
      </c>
      <c r="K113" s="354">
        <v>8.9</v>
      </c>
      <c r="L113" s="332"/>
      <c r="M113" s="330" t="s">
        <v>516</v>
      </c>
      <c r="N113" s="330">
        <f t="shared" si="2"/>
        <v>15.8</v>
      </c>
      <c r="O113" s="102" t="s">
        <v>539</v>
      </c>
      <c r="P113" s="94"/>
    </row>
    <row r="114" spans="2:16">
      <c r="B114" s="177">
        <v>107</v>
      </c>
      <c r="C114" s="390" t="s">
        <v>77</v>
      </c>
      <c r="D114" s="454" t="s">
        <v>1812</v>
      </c>
      <c r="E114" s="90">
        <f>'[3]VLH - détail'!F122</f>
        <v>1234.9045456104641</v>
      </c>
      <c r="F114" s="90"/>
      <c r="G114" s="96">
        <f>'[3]VLH - détail'!I122</f>
        <v>3.284736997093133</v>
      </c>
      <c r="H114" s="96">
        <f>'[3]VLH - détail'!O122</f>
        <v>18.701619962558585</v>
      </c>
      <c r="I114" s="96">
        <f>'[3]VLH - détail'!P122</f>
        <v>18.701619962558585</v>
      </c>
      <c r="J114" s="51">
        <f>'[3]VLnappe - détail'!R113</f>
        <v>160</v>
      </c>
      <c r="K114" s="352">
        <v>3.3140999999999998</v>
      </c>
      <c r="L114" s="97"/>
      <c r="M114" s="330">
        <v>5166.4620130520443</v>
      </c>
      <c r="N114" s="330">
        <f t="shared" si="2"/>
        <v>320</v>
      </c>
      <c r="O114" s="98"/>
      <c r="P114" s="94"/>
    </row>
    <row r="115" spans="2:16">
      <c r="B115" s="177">
        <v>108</v>
      </c>
      <c r="C115" s="390" t="s">
        <v>51</v>
      </c>
      <c r="D115" s="454" t="s">
        <v>50</v>
      </c>
      <c r="E115" s="90">
        <f>'[3]VLH - détail'!F123</f>
        <v>0.29913199367254212</v>
      </c>
      <c r="F115" s="90"/>
      <c r="G115" s="334">
        <f>'[3]VLH - détail'!I123</f>
        <v>9.4247295437255939E-5</v>
      </c>
      <c r="H115" s="96">
        <f>'[3]VLH - détail'!O123</f>
        <v>0.29913199367254212</v>
      </c>
      <c r="I115" s="96">
        <f>'[3]VLH - détail'!P123</f>
        <v>0.54287481118127823</v>
      </c>
      <c r="J115" s="51">
        <f>'[3]VLnappe - détail'!R114</f>
        <v>5.0000000000000001E-3</v>
      </c>
      <c r="K115" s="352">
        <v>1.1E-4</v>
      </c>
      <c r="L115" s="97"/>
      <c r="M115" s="330">
        <v>131.12910617448605</v>
      </c>
      <c r="N115" s="330">
        <f t="shared" si="2"/>
        <v>0.01</v>
      </c>
      <c r="O115" s="98"/>
      <c r="P115" s="94"/>
    </row>
    <row r="116" spans="2:16">
      <c r="B116" s="177">
        <v>109</v>
      </c>
      <c r="C116" s="390" t="s">
        <v>383</v>
      </c>
      <c r="D116" s="454" t="s">
        <v>1676</v>
      </c>
      <c r="E116" s="577" t="s">
        <v>515</v>
      </c>
      <c r="F116" s="578"/>
      <c r="G116" s="578"/>
      <c r="H116" s="578"/>
      <c r="I116" s="579"/>
      <c r="J116" s="51">
        <f>'[3]VLnappe - détail'!R115</f>
        <v>250</v>
      </c>
      <c r="K116" s="355">
        <v>21.644100000000002</v>
      </c>
      <c r="L116" s="335"/>
      <c r="M116" s="330" t="s">
        <v>516</v>
      </c>
      <c r="N116" s="330">
        <f t="shared" si="2"/>
        <v>500</v>
      </c>
      <c r="O116" s="98"/>
      <c r="P116" s="94"/>
    </row>
    <row r="117" spans="2:16">
      <c r="B117" s="177">
        <v>110</v>
      </c>
      <c r="C117" s="390" t="s">
        <v>53</v>
      </c>
      <c r="D117" s="454" t="s">
        <v>52</v>
      </c>
      <c r="E117" s="90">
        <f>'[3]VLH - détail'!F125</f>
        <v>0.97691496224612762</v>
      </c>
      <c r="F117" s="90"/>
      <c r="G117" s="334">
        <f>'[3]VLH - détail'!I125</f>
        <v>6.1741384417245387E-4</v>
      </c>
      <c r="H117" s="96">
        <f>'[3]VLH - détail'!O125</f>
        <v>7.4630898906594925E-2</v>
      </c>
      <c r="I117" s="96">
        <f>'[3]VLH - détail'!P125</f>
        <v>7.4630898906594925E-2</v>
      </c>
      <c r="J117" s="51">
        <f>'[3]VLnappe - détail'!R116</f>
        <v>0.1</v>
      </c>
      <c r="K117" s="352">
        <v>8.2000000000000007E-3</v>
      </c>
      <c r="L117" s="97"/>
      <c r="M117" s="330">
        <v>3.2109449353385551</v>
      </c>
      <c r="N117" s="330">
        <f t="shared" si="2"/>
        <v>0.2</v>
      </c>
      <c r="O117" s="98"/>
      <c r="P117" s="94"/>
    </row>
    <row r="118" spans="2:16">
      <c r="B118" s="177">
        <v>111</v>
      </c>
      <c r="C118" s="390" t="s">
        <v>69</v>
      </c>
      <c r="D118" s="454" t="s">
        <v>1767</v>
      </c>
      <c r="E118" s="90">
        <f>'[3]VLH - détail'!F126</f>
        <v>32.364235316321661</v>
      </c>
      <c r="F118" s="90"/>
      <c r="G118" s="96">
        <f>'[3]VLH - détail'!I126</f>
        <v>0.11001466814254791</v>
      </c>
      <c r="H118" s="96">
        <f>'[3]VLH - détail'!O126</f>
        <v>0.46278462903566614</v>
      </c>
      <c r="I118" s="96">
        <f>'[3]VLH - détail'!P126</f>
        <v>0.46278462903566614</v>
      </c>
      <c r="J118" s="51">
        <f>'[3]VLnappe - détail'!R117</f>
        <v>190</v>
      </c>
      <c r="K118" s="352">
        <v>1.2755000000000001</v>
      </c>
      <c r="L118" s="336"/>
      <c r="M118" s="330">
        <v>272.6830324866346</v>
      </c>
      <c r="N118" s="330">
        <f t="shared" si="2"/>
        <v>380</v>
      </c>
      <c r="O118" s="98"/>
      <c r="P118" s="94"/>
    </row>
    <row r="119" spans="2:16" ht="45">
      <c r="B119" s="177">
        <v>112</v>
      </c>
      <c r="C119" s="390" t="s">
        <v>384</v>
      </c>
      <c r="D119" s="454" t="s">
        <v>1747</v>
      </c>
      <c r="E119" s="577" t="s">
        <v>515</v>
      </c>
      <c r="F119" s="578"/>
      <c r="G119" s="578"/>
      <c r="H119" s="578"/>
      <c r="I119" s="579"/>
      <c r="J119" s="51" t="str">
        <f>'[3]VLnappe - détail'!R118</f>
        <v>NA</v>
      </c>
      <c r="K119" s="354" t="s">
        <v>515</v>
      </c>
      <c r="L119" s="319" t="s">
        <v>1524</v>
      </c>
      <c r="M119" s="330" t="s">
        <v>516</v>
      </c>
      <c r="N119" s="330" t="s">
        <v>515</v>
      </c>
      <c r="O119" s="98"/>
      <c r="P119" s="94"/>
    </row>
    <row r="120" spans="2:16">
      <c r="B120" s="177">
        <v>113</v>
      </c>
      <c r="C120" s="390" t="s">
        <v>82</v>
      </c>
      <c r="D120" s="454" t="s">
        <v>1881</v>
      </c>
      <c r="E120" s="90">
        <f>'[3]VLH - détail'!F128</f>
        <v>30.415118344313026</v>
      </c>
      <c r="F120" s="90"/>
      <c r="G120" s="96">
        <f>'[3]VLH - détail'!I128</f>
        <v>9.4160707002133703E-3</v>
      </c>
      <c r="H120" s="96">
        <f>'[3]VLH - détail'!O128</f>
        <v>3.4965395959746335</v>
      </c>
      <c r="I120" s="96">
        <f>'[3]VLH - détail'!P128</f>
        <v>3.4965395959746335</v>
      </c>
      <c r="J120" s="51">
        <f>'[3]VLnappe - détail'!R119</f>
        <v>0.27</v>
      </c>
      <c r="K120" s="352">
        <v>1.2999999999999999E-3</v>
      </c>
      <c r="L120" s="97"/>
      <c r="M120" s="330">
        <v>2826.5418048535244</v>
      </c>
      <c r="N120" s="330">
        <f t="shared" si="2"/>
        <v>0.54</v>
      </c>
      <c r="O120" s="98"/>
      <c r="P120" s="94"/>
    </row>
    <row r="121" spans="2:16">
      <c r="B121" s="177">
        <v>114</v>
      </c>
      <c r="C121" s="390" t="s">
        <v>78</v>
      </c>
      <c r="D121" s="454" t="s">
        <v>1834</v>
      </c>
      <c r="E121" s="90">
        <f>'[3]VLH - détail'!F129</f>
        <v>46.706049207358312</v>
      </c>
      <c r="F121" s="90"/>
      <c r="G121" s="96">
        <f>'[3]VLH - détail'!I129</f>
        <v>0.12619580415673354</v>
      </c>
      <c r="H121" s="96">
        <f>'[3]VLH - détail'!O129</f>
        <v>3.4780605286393866</v>
      </c>
      <c r="I121" s="96">
        <f>'[3]VLH - détail'!P129</f>
        <v>3.4780605286393866</v>
      </c>
      <c r="J121" s="51">
        <f>'[3]VLnappe - détail'!R120</f>
        <v>0.6</v>
      </c>
      <c r="K121" s="352">
        <v>3.0093999999999999</v>
      </c>
      <c r="L121" s="97"/>
      <c r="M121" s="330">
        <v>2.4157365615647426</v>
      </c>
      <c r="N121" s="330">
        <f t="shared" si="2"/>
        <v>1.2</v>
      </c>
      <c r="O121" s="98"/>
      <c r="P121" s="94"/>
    </row>
    <row r="122" spans="2:16" ht="60">
      <c r="B122" s="177">
        <v>115</v>
      </c>
      <c r="C122" s="390" t="s">
        <v>385</v>
      </c>
      <c r="D122" s="454" t="s">
        <v>1647</v>
      </c>
      <c r="E122" s="577" t="s">
        <v>515</v>
      </c>
      <c r="F122" s="578"/>
      <c r="G122" s="578"/>
      <c r="H122" s="578"/>
      <c r="I122" s="579"/>
      <c r="J122" s="51">
        <f>'[3]VLnappe - détail'!R121</f>
        <v>65</v>
      </c>
      <c r="K122" s="352" t="s">
        <v>515</v>
      </c>
      <c r="L122" s="337" t="s">
        <v>1526</v>
      </c>
      <c r="M122" s="330" t="s">
        <v>516</v>
      </c>
      <c r="N122" s="330">
        <f t="shared" si="2"/>
        <v>130</v>
      </c>
      <c r="O122" s="98"/>
      <c r="P122" s="94"/>
    </row>
    <row r="123" spans="2:16">
      <c r="B123" s="177">
        <v>116</v>
      </c>
      <c r="C123" s="390" t="s">
        <v>85</v>
      </c>
      <c r="D123" s="454" t="s">
        <v>1929</v>
      </c>
      <c r="E123" s="90">
        <f>'[3]VLH - détail'!F131</f>
        <v>2722.1038645239983</v>
      </c>
      <c r="F123" s="90"/>
      <c r="G123" s="96">
        <f>'[3]VLH - détail'!I131</f>
        <v>1.6817111783139185</v>
      </c>
      <c r="H123" s="96">
        <f>'[3]VLH - détail'!O131</f>
        <v>2722.1038645239983</v>
      </c>
      <c r="I123" s="96">
        <f>'[3]VLH - détail'!P131</f>
        <v>5035.0194298867609</v>
      </c>
      <c r="J123" s="51">
        <f>'[3]VLnappe - détail'!R122</f>
        <v>18</v>
      </c>
      <c r="K123" s="352">
        <v>0.222</v>
      </c>
      <c r="L123" s="97"/>
      <c r="M123" s="330" t="s">
        <v>520</v>
      </c>
      <c r="N123" s="330">
        <f t="shared" si="2"/>
        <v>36</v>
      </c>
      <c r="O123" s="98"/>
      <c r="P123" s="94"/>
    </row>
    <row r="124" spans="2:16" ht="45" customHeight="1">
      <c r="B124" s="177">
        <v>117</v>
      </c>
      <c r="C124" s="390" t="s">
        <v>386</v>
      </c>
      <c r="D124" s="454" t="s">
        <v>1703</v>
      </c>
      <c r="E124" s="577" t="s">
        <v>515</v>
      </c>
      <c r="F124" s="578"/>
      <c r="G124" s="578"/>
      <c r="H124" s="578"/>
      <c r="I124" s="579"/>
      <c r="J124" s="51" t="str">
        <f>'[3]VLnappe - détail'!R123</f>
        <v>NA</v>
      </c>
      <c r="K124" s="354" t="s">
        <v>515</v>
      </c>
      <c r="L124" s="319" t="s">
        <v>1524</v>
      </c>
      <c r="M124" s="330" t="s">
        <v>516</v>
      </c>
      <c r="N124" s="330" t="s">
        <v>515</v>
      </c>
      <c r="O124" s="98"/>
      <c r="P124" s="94"/>
    </row>
    <row r="125" spans="2:16" ht="45">
      <c r="B125" s="177">
        <v>118</v>
      </c>
      <c r="C125" s="390" t="s">
        <v>387</v>
      </c>
      <c r="D125" s="454" t="s">
        <v>1731</v>
      </c>
      <c r="E125" s="577" t="s">
        <v>515</v>
      </c>
      <c r="F125" s="578"/>
      <c r="G125" s="578"/>
      <c r="H125" s="578"/>
      <c r="I125" s="579"/>
      <c r="J125" s="51">
        <f>'[3]VLnappe - détail'!R124</f>
        <v>780</v>
      </c>
      <c r="K125" s="352" t="s">
        <v>515</v>
      </c>
      <c r="L125" s="337" t="s">
        <v>1527</v>
      </c>
      <c r="M125" s="330" t="s">
        <v>516</v>
      </c>
      <c r="N125" s="330">
        <f t="shared" si="2"/>
        <v>1560</v>
      </c>
      <c r="O125" s="98"/>
      <c r="P125" s="94"/>
    </row>
    <row r="126" spans="2:16" ht="45">
      <c r="B126" s="177">
        <v>119</v>
      </c>
      <c r="C126" s="390" t="s">
        <v>388</v>
      </c>
      <c r="D126" s="454" t="s">
        <v>1692</v>
      </c>
      <c r="E126" s="577" t="s">
        <v>515</v>
      </c>
      <c r="F126" s="578"/>
      <c r="G126" s="578"/>
      <c r="H126" s="578"/>
      <c r="I126" s="579"/>
      <c r="J126" s="51" t="str">
        <f>'[3]VLnappe - détail'!R125</f>
        <v>NA</v>
      </c>
      <c r="K126" s="354" t="s">
        <v>515</v>
      </c>
      <c r="L126" s="319" t="s">
        <v>1524</v>
      </c>
      <c r="M126" s="330" t="s">
        <v>516</v>
      </c>
      <c r="N126" s="330" t="s">
        <v>515</v>
      </c>
      <c r="O126" s="98"/>
      <c r="P126" s="94"/>
    </row>
    <row r="127" spans="2:16" ht="45">
      <c r="B127" s="177">
        <v>120</v>
      </c>
      <c r="C127" s="390" t="s">
        <v>389</v>
      </c>
      <c r="D127" s="454" t="s">
        <v>1691</v>
      </c>
      <c r="E127" s="577" t="s">
        <v>515</v>
      </c>
      <c r="F127" s="578"/>
      <c r="G127" s="578"/>
      <c r="H127" s="578"/>
      <c r="I127" s="579"/>
      <c r="J127" s="51" t="str">
        <f>'[3]VLnappe - détail'!R126</f>
        <v>NA</v>
      </c>
      <c r="K127" s="354" t="s">
        <v>515</v>
      </c>
      <c r="L127" s="319" t="s">
        <v>1524</v>
      </c>
      <c r="M127" s="330" t="s">
        <v>516</v>
      </c>
      <c r="N127" s="330" t="s">
        <v>515</v>
      </c>
      <c r="O127" s="98"/>
      <c r="P127" s="94"/>
    </row>
    <row r="128" spans="2:16" ht="45">
      <c r="B128" s="177">
        <v>121</v>
      </c>
      <c r="C128" s="390" t="s">
        <v>390</v>
      </c>
      <c r="D128" s="454" t="s">
        <v>1704</v>
      </c>
      <c r="E128" s="577" t="s">
        <v>515</v>
      </c>
      <c r="F128" s="578"/>
      <c r="G128" s="578"/>
      <c r="H128" s="578"/>
      <c r="I128" s="579"/>
      <c r="J128" s="51" t="str">
        <f>'[3]VLnappe - détail'!R127</f>
        <v>NA</v>
      </c>
      <c r="K128" s="354" t="s">
        <v>515</v>
      </c>
      <c r="L128" s="319" t="s">
        <v>1524</v>
      </c>
      <c r="M128" s="330" t="s">
        <v>516</v>
      </c>
      <c r="N128" s="330" t="s">
        <v>515</v>
      </c>
      <c r="O128" s="98"/>
      <c r="P128" s="94"/>
    </row>
    <row r="129" spans="2:16" ht="30">
      <c r="B129" s="177">
        <v>122</v>
      </c>
      <c r="C129" s="390" t="s">
        <v>137</v>
      </c>
      <c r="D129" s="454" t="s">
        <v>1689</v>
      </c>
      <c r="E129" s="541">
        <f>'VL - détail VLH (Risc Human)'!F130</f>
        <v>6.8830366886898442E-5</v>
      </c>
      <c r="F129" s="541"/>
      <c r="G129" s="541">
        <f>'VL - détail VLH (Risc Human)'!I130</f>
        <v>2.9922693133758217E-7</v>
      </c>
      <c r="H129" s="541">
        <f>'VL - détail VLH (Risc Human)'!O130</f>
        <v>6.8378513563281435E-5</v>
      </c>
      <c r="I129" s="449">
        <f>'VL - détail VLH (Risc Human)'!P130</f>
        <v>1.2610040358315938E-4</v>
      </c>
      <c r="J129" s="51" t="str">
        <f>'[3]VLnappe - détail'!R128</f>
        <v>3.10-5</v>
      </c>
      <c r="K129" s="352">
        <v>2.7000000000000001E-3</v>
      </c>
      <c r="L129" s="97"/>
      <c r="M129" s="330">
        <v>6.0890233685939176E-4</v>
      </c>
      <c r="N129" s="330" t="s">
        <v>515</v>
      </c>
      <c r="O129" s="98"/>
      <c r="P129" s="94"/>
    </row>
    <row r="130" spans="2:16">
      <c r="B130" s="177">
        <v>123</v>
      </c>
      <c r="C130" s="390" t="s">
        <v>391</v>
      </c>
      <c r="D130" s="454" t="s">
        <v>392</v>
      </c>
      <c r="E130" s="577" t="s">
        <v>515</v>
      </c>
      <c r="F130" s="578"/>
      <c r="G130" s="578"/>
      <c r="H130" s="578"/>
      <c r="I130" s="579"/>
      <c r="J130" s="51">
        <v>0.1</v>
      </c>
      <c r="K130" s="352">
        <v>6.8999999999999999E-3</v>
      </c>
      <c r="L130" s="97"/>
      <c r="M130" s="330" t="s">
        <v>516</v>
      </c>
      <c r="N130" s="330">
        <f t="shared" ref="N130:N193" si="3">J130*2</f>
        <v>0.2</v>
      </c>
      <c r="O130" s="98"/>
      <c r="P130" s="94"/>
    </row>
    <row r="131" spans="2:16" ht="60">
      <c r="B131" s="177">
        <v>124</v>
      </c>
      <c r="C131" s="390" t="s">
        <v>393</v>
      </c>
      <c r="D131" s="454" t="s">
        <v>1814</v>
      </c>
      <c r="E131" s="577" t="s">
        <v>515</v>
      </c>
      <c r="F131" s="578"/>
      <c r="G131" s="578"/>
      <c r="H131" s="578"/>
      <c r="I131" s="579"/>
      <c r="J131" s="51">
        <f>'[3]VLnappe - détail'!R130</f>
        <v>0.02</v>
      </c>
      <c r="K131" s="354" t="s">
        <v>515</v>
      </c>
      <c r="L131" s="319" t="s">
        <v>1528</v>
      </c>
      <c r="M131" s="330" t="s">
        <v>516</v>
      </c>
      <c r="N131" s="330">
        <f t="shared" si="3"/>
        <v>0.04</v>
      </c>
      <c r="O131" s="106" t="s">
        <v>540</v>
      </c>
      <c r="P131" s="94"/>
    </row>
    <row r="132" spans="2:16">
      <c r="B132" s="177">
        <v>125</v>
      </c>
      <c r="C132" s="48" t="s">
        <v>394</v>
      </c>
      <c r="D132" s="454" t="s">
        <v>1656</v>
      </c>
      <c r="E132" s="577" t="s">
        <v>515</v>
      </c>
      <c r="F132" s="578"/>
      <c r="G132" s="578"/>
      <c r="H132" s="578"/>
      <c r="I132" s="579"/>
      <c r="J132" s="338" t="s">
        <v>515</v>
      </c>
      <c r="K132" s="354" t="s">
        <v>515</v>
      </c>
      <c r="L132" s="332"/>
      <c r="M132" s="330" t="s">
        <v>516</v>
      </c>
      <c r="N132" s="330" t="s">
        <v>515</v>
      </c>
      <c r="O132" s="98"/>
      <c r="P132" s="94"/>
    </row>
    <row r="133" spans="2:16">
      <c r="B133" s="177">
        <v>126</v>
      </c>
      <c r="C133" s="48" t="s">
        <v>395</v>
      </c>
      <c r="D133" s="454" t="s">
        <v>1710</v>
      </c>
      <c r="E133" s="577" t="s">
        <v>515</v>
      </c>
      <c r="F133" s="578"/>
      <c r="G133" s="578"/>
      <c r="H133" s="578"/>
      <c r="I133" s="579"/>
      <c r="J133" s="51">
        <f>'[3]VLnappe - détail'!R132</f>
        <v>1400</v>
      </c>
      <c r="K133" s="354">
        <v>182.5608</v>
      </c>
      <c r="L133" s="332"/>
      <c r="M133" s="330" t="s">
        <v>516</v>
      </c>
      <c r="N133" s="330">
        <f t="shared" si="3"/>
        <v>2800</v>
      </c>
      <c r="O133" s="323" t="s">
        <v>1535</v>
      </c>
      <c r="P133" s="94"/>
    </row>
    <row r="134" spans="2:16" ht="60">
      <c r="B134" s="177">
        <v>127</v>
      </c>
      <c r="C134" s="48" t="s">
        <v>396</v>
      </c>
      <c r="D134" s="454" t="s">
        <v>1752</v>
      </c>
      <c r="E134" s="577" t="s">
        <v>515</v>
      </c>
      <c r="F134" s="578"/>
      <c r="G134" s="578"/>
      <c r="H134" s="578"/>
      <c r="I134" s="579"/>
      <c r="J134" s="51">
        <v>2000</v>
      </c>
      <c r="K134" s="352" t="s">
        <v>515</v>
      </c>
      <c r="L134" s="337" t="s">
        <v>1525</v>
      </c>
      <c r="M134" s="330" t="s">
        <v>516</v>
      </c>
      <c r="N134" s="51" t="s">
        <v>514</v>
      </c>
      <c r="O134" s="98"/>
      <c r="P134" s="94"/>
    </row>
    <row r="135" spans="2:16">
      <c r="B135" s="177">
        <v>128</v>
      </c>
      <c r="C135" s="390" t="s">
        <v>139</v>
      </c>
      <c r="D135" s="454" t="s">
        <v>542</v>
      </c>
      <c r="E135" s="90">
        <f>'[3]VLH - détail'!F143</f>
        <v>6.8811541441318793</v>
      </c>
      <c r="F135" s="90"/>
      <c r="G135" s="96">
        <f>'[3]VLH - détail'!I143</f>
        <v>8.1837346429176425E-3</v>
      </c>
      <c r="H135" s="96">
        <f>'[3]VLH - détail'!O143</f>
        <v>6.7832110363689164</v>
      </c>
      <c r="I135" s="96">
        <f>'[3]VLH - détail'!P143</f>
        <v>12.225764612009604</v>
      </c>
      <c r="J135" s="51">
        <f>'[3]VLnappe - détail'!R134</f>
        <v>0.1</v>
      </c>
      <c r="K135" s="352">
        <v>0.53720000000000001</v>
      </c>
      <c r="L135" s="97"/>
      <c r="M135" s="330">
        <v>41.936962233483463</v>
      </c>
      <c r="N135" s="330">
        <f t="shared" si="3"/>
        <v>0.2</v>
      </c>
      <c r="O135" s="98"/>
      <c r="P135" s="94"/>
    </row>
    <row r="136" spans="2:16" ht="45">
      <c r="B136" s="177">
        <v>129</v>
      </c>
      <c r="C136" s="48" t="s">
        <v>397</v>
      </c>
      <c r="D136" s="522" t="s">
        <v>398</v>
      </c>
      <c r="E136" s="577" t="s">
        <v>515</v>
      </c>
      <c r="F136" s="578"/>
      <c r="G136" s="578"/>
      <c r="H136" s="578"/>
      <c r="I136" s="579"/>
      <c r="J136" s="51" t="s">
        <v>515</v>
      </c>
      <c r="K136" s="330" t="s">
        <v>515</v>
      </c>
      <c r="L136" s="319" t="s">
        <v>1524</v>
      </c>
      <c r="M136" s="330" t="s">
        <v>516</v>
      </c>
      <c r="N136" s="330" t="s">
        <v>515</v>
      </c>
      <c r="O136" s="98"/>
      <c r="P136" s="94"/>
    </row>
    <row r="137" spans="2:16">
      <c r="B137" s="177">
        <v>130</v>
      </c>
      <c r="C137" s="390" t="s">
        <v>55</v>
      </c>
      <c r="D137" s="454" t="s">
        <v>54</v>
      </c>
      <c r="E137" s="90">
        <f>'[3]VLH - détail'!F145</f>
        <v>17.278331328519599</v>
      </c>
      <c r="F137" s="90"/>
      <c r="G137" s="96">
        <f>'[3]VLH - détail'!I145</f>
        <v>2.3276425566599295E-2</v>
      </c>
      <c r="H137" s="96">
        <f>'[3]VLH - détail'!O145</f>
        <v>0.24591027197751561</v>
      </c>
      <c r="I137" s="96">
        <f>'[3]VLH - détail'!P145</f>
        <v>0.24591027197751561</v>
      </c>
      <c r="J137" s="51">
        <f>'[3]VLnappe - détail'!R136</f>
        <v>40</v>
      </c>
      <c r="K137" s="352">
        <v>0.5252</v>
      </c>
      <c r="L137" s="97"/>
      <c r="M137" s="330">
        <v>66.1911081354434</v>
      </c>
      <c r="N137" s="330">
        <f t="shared" si="3"/>
        <v>80</v>
      </c>
      <c r="O137" s="98"/>
      <c r="P137" s="94"/>
    </row>
    <row r="138" spans="2:16">
      <c r="B138" s="177">
        <v>131</v>
      </c>
      <c r="C138" s="390" t="s">
        <v>142</v>
      </c>
      <c r="D138" s="454" t="s">
        <v>543</v>
      </c>
      <c r="E138" s="90">
        <f>'[3]VLH - détail'!F146</f>
        <v>0.53450291329606536</v>
      </c>
      <c r="F138" s="90"/>
      <c r="G138" s="350">
        <f>'[3]VLH - détail'!I146</f>
        <v>2.9678817027633999E-3</v>
      </c>
      <c r="H138" s="96">
        <f>'[3]VLH - détail'!O146</f>
        <v>0.51300243343286334</v>
      </c>
      <c r="I138" s="96">
        <f>'[3]VLH - détail'!P146</f>
        <v>0.96420570381269688</v>
      </c>
      <c r="J138" s="51">
        <f>'[3]VLnappe - détail'!R137</f>
        <v>0.03</v>
      </c>
      <c r="K138" s="352">
        <v>0.4335</v>
      </c>
      <c r="L138" s="97"/>
      <c r="M138" s="330" t="s">
        <v>520</v>
      </c>
      <c r="N138" s="330">
        <f t="shared" si="3"/>
        <v>0.06</v>
      </c>
      <c r="O138" s="98"/>
      <c r="P138" s="94"/>
    </row>
    <row r="139" spans="2:16" ht="45" customHeight="1">
      <c r="B139" s="177">
        <v>132</v>
      </c>
      <c r="C139" s="48" t="s">
        <v>399</v>
      </c>
      <c r="D139" s="454" t="s">
        <v>1705</v>
      </c>
      <c r="E139" s="577" t="s">
        <v>515</v>
      </c>
      <c r="F139" s="578"/>
      <c r="G139" s="578"/>
      <c r="H139" s="578"/>
      <c r="I139" s="579"/>
      <c r="J139" s="51" t="str">
        <f>'[3]VLnappe - détail'!R138</f>
        <v>NA</v>
      </c>
      <c r="K139" s="354" t="s">
        <v>515</v>
      </c>
      <c r="L139" s="319" t="s">
        <v>1524</v>
      </c>
      <c r="M139" s="330" t="s">
        <v>516</v>
      </c>
      <c r="N139" s="330" t="s">
        <v>515</v>
      </c>
      <c r="O139" s="98" t="s">
        <v>545</v>
      </c>
      <c r="P139" s="94"/>
    </row>
    <row r="140" spans="2:16">
      <c r="B140" s="177">
        <v>133</v>
      </c>
      <c r="C140" s="390" t="s">
        <v>140</v>
      </c>
      <c r="D140" s="454" t="s">
        <v>1817</v>
      </c>
      <c r="E140" s="90">
        <f>'[3]VLH - détail'!F148</f>
        <v>0.9794715461012321</v>
      </c>
      <c r="F140" s="90"/>
      <c r="G140" s="350">
        <f>'[3]VLH - détail'!I148</f>
        <v>9.8940748185112441E-4</v>
      </c>
      <c r="H140" s="96">
        <f>'[3]VLH - détail'!O148</f>
        <v>0.94420293187602389</v>
      </c>
      <c r="I140" s="96">
        <f>'[3]VLH - détail'!P148</f>
        <v>1.6431147766946306</v>
      </c>
      <c r="J140" s="51">
        <f>'[3]VLnappe - détail'!R139</f>
        <v>0.03</v>
      </c>
      <c r="K140" s="352">
        <v>7.2099999999999997E-2</v>
      </c>
      <c r="L140" s="97"/>
      <c r="M140" s="330">
        <v>7.6533001376977214</v>
      </c>
      <c r="N140" s="330">
        <f t="shared" si="3"/>
        <v>0.06</v>
      </c>
      <c r="O140" s="98"/>
      <c r="P140" s="94"/>
    </row>
    <row r="141" spans="2:16" ht="45" customHeight="1">
      <c r="B141" s="177">
        <v>134</v>
      </c>
      <c r="C141" s="48" t="s">
        <v>400</v>
      </c>
      <c r="D141" s="454" t="s">
        <v>1679</v>
      </c>
      <c r="E141" s="577" t="s">
        <v>515</v>
      </c>
      <c r="F141" s="578"/>
      <c r="G141" s="578"/>
      <c r="H141" s="578"/>
      <c r="I141" s="579"/>
      <c r="J141" s="51" t="str">
        <f>'[3]VLnappe - détail'!R140</f>
        <v>NA</v>
      </c>
      <c r="K141" s="354" t="s">
        <v>515</v>
      </c>
      <c r="L141" s="319" t="s">
        <v>1524</v>
      </c>
      <c r="M141" s="330" t="s">
        <v>516</v>
      </c>
      <c r="N141" s="330" t="s">
        <v>515</v>
      </c>
      <c r="O141" s="98" t="s">
        <v>545</v>
      </c>
      <c r="P141" s="94"/>
    </row>
    <row r="142" spans="2:16" ht="45" customHeight="1">
      <c r="B142" s="177">
        <v>135</v>
      </c>
      <c r="C142" s="507" t="s">
        <v>401</v>
      </c>
      <c r="D142" s="454" t="s">
        <v>1841</v>
      </c>
      <c r="E142" s="577" t="s">
        <v>515</v>
      </c>
      <c r="F142" s="578"/>
      <c r="G142" s="578"/>
      <c r="H142" s="578"/>
      <c r="I142" s="579"/>
      <c r="J142" s="51" t="str">
        <f>'[3]VLnappe - détail'!R141</f>
        <v>NA</v>
      </c>
      <c r="K142" s="354" t="s">
        <v>515</v>
      </c>
      <c r="L142" s="319" t="s">
        <v>1524</v>
      </c>
      <c r="M142" s="330" t="s">
        <v>516</v>
      </c>
      <c r="N142" s="330" t="s">
        <v>515</v>
      </c>
      <c r="O142" s="98"/>
      <c r="P142" s="94"/>
    </row>
    <row r="143" spans="2:16">
      <c r="B143" s="177">
        <v>136</v>
      </c>
      <c r="C143" s="390" t="s">
        <v>141</v>
      </c>
      <c r="D143" s="454" t="s">
        <v>1845</v>
      </c>
      <c r="E143" s="90">
        <f>'[3]VLH - détail'!F151</f>
        <v>1.5707813609549421</v>
      </c>
      <c r="F143" s="90"/>
      <c r="G143" s="350">
        <f>'[3]VLH - détail'!I151</f>
        <v>3.4932520977744193E-3</v>
      </c>
      <c r="H143" s="96">
        <f>'[3]VLH - détail'!O151</f>
        <v>0.96099986030534779</v>
      </c>
      <c r="I143" s="96">
        <f>'[3]VLH - détail'!P151</f>
        <v>1.3820483601097817</v>
      </c>
      <c r="J143" s="51">
        <f>'[3]VLnappe - détail'!R142</f>
        <v>0.1</v>
      </c>
      <c r="K143" s="352">
        <v>1.78E-2</v>
      </c>
      <c r="L143" s="97"/>
      <c r="M143" s="330">
        <v>67.582873162222526</v>
      </c>
      <c r="N143" s="330">
        <f t="shared" si="3"/>
        <v>0.2</v>
      </c>
      <c r="O143" s="98"/>
      <c r="P143" s="94"/>
    </row>
    <row r="144" spans="2:16" ht="45" customHeight="1">
      <c r="B144" s="177">
        <v>137</v>
      </c>
      <c r="C144" s="177" t="s">
        <v>402</v>
      </c>
      <c r="D144" s="454" t="s">
        <v>1672</v>
      </c>
      <c r="E144" s="577" t="s">
        <v>515</v>
      </c>
      <c r="F144" s="578"/>
      <c r="G144" s="578"/>
      <c r="H144" s="578"/>
      <c r="I144" s="579"/>
      <c r="J144" s="51" t="str">
        <f>'[3]VLnappe - détail'!R143</f>
        <v>NA</v>
      </c>
      <c r="K144" s="354" t="s">
        <v>515</v>
      </c>
      <c r="L144" s="319" t="s">
        <v>1524</v>
      </c>
      <c r="M144" s="330" t="s">
        <v>516</v>
      </c>
      <c r="N144" s="330" t="s">
        <v>515</v>
      </c>
      <c r="O144" s="98" t="s">
        <v>545</v>
      </c>
      <c r="P144" s="94"/>
    </row>
    <row r="145" spans="2:16" ht="45" customHeight="1">
      <c r="B145" s="177">
        <v>138</v>
      </c>
      <c r="C145" s="177" t="s">
        <v>403</v>
      </c>
      <c r="D145" s="454" t="s">
        <v>1868</v>
      </c>
      <c r="E145" s="577" t="s">
        <v>515</v>
      </c>
      <c r="F145" s="578"/>
      <c r="G145" s="578"/>
      <c r="H145" s="578"/>
      <c r="I145" s="579"/>
      <c r="J145" s="51" t="str">
        <f>'[3]VLnappe - détail'!R144</f>
        <v>NA</v>
      </c>
      <c r="K145" s="354" t="s">
        <v>515</v>
      </c>
      <c r="L145" s="319" t="s">
        <v>1524</v>
      </c>
      <c r="M145" s="330" t="s">
        <v>516</v>
      </c>
      <c r="N145" s="330" t="s">
        <v>515</v>
      </c>
      <c r="O145" s="98"/>
      <c r="P145" s="94"/>
    </row>
    <row r="146" spans="2:16" ht="45" customHeight="1">
      <c r="B146" s="177">
        <v>139</v>
      </c>
      <c r="C146" s="177" t="s">
        <v>404</v>
      </c>
      <c r="D146" s="454" t="s">
        <v>1665</v>
      </c>
      <c r="E146" s="577" t="s">
        <v>515</v>
      </c>
      <c r="F146" s="578"/>
      <c r="G146" s="578"/>
      <c r="H146" s="578"/>
      <c r="I146" s="579"/>
      <c r="J146" s="51" t="str">
        <f>'[3]VLnappe - détail'!R145</f>
        <v>NA</v>
      </c>
      <c r="K146" s="354" t="s">
        <v>515</v>
      </c>
      <c r="L146" s="319" t="s">
        <v>1524</v>
      </c>
      <c r="M146" s="330" t="s">
        <v>516</v>
      </c>
      <c r="N146" s="330" t="s">
        <v>515</v>
      </c>
      <c r="O146" s="98" t="s">
        <v>545</v>
      </c>
      <c r="P146" s="94"/>
    </row>
    <row r="147" spans="2:16" ht="45" customHeight="1">
      <c r="B147" s="177">
        <v>140</v>
      </c>
      <c r="C147" s="177" t="s">
        <v>405</v>
      </c>
      <c r="D147" s="454" t="s">
        <v>1878</v>
      </c>
      <c r="E147" s="577" t="s">
        <v>515</v>
      </c>
      <c r="F147" s="578"/>
      <c r="G147" s="578"/>
      <c r="H147" s="578"/>
      <c r="I147" s="579"/>
      <c r="J147" s="51" t="str">
        <f>'[3]VLnappe - détail'!R146</f>
        <v>NA</v>
      </c>
      <c r="K147" s="354" t="s">
        <v>515</v>
      </c>
      <c r="L147" s="319" t="s">
        <v>1524</v>
      </c>
      <c r="M147" s="330" t="s">
        <v>516</v>
      </c>
      <c r="N147" s="330" t="s">
        <v>515</v>
      </c>
      <c r="O147" s="98"/>
      <c r="P147" s="94"/>
    </row>
    <row r="148" spans="2:16" ht="45" customHeight="1">
      <c r="B148" s="177">
        <v>141</v>
      </c>
      <c r="C148" s="177" t="s">
        <v>406</v>
      </c>
      <c r="D148" s="454" t="s">
        <v>1901</v>
      </c>
      <c r="E148" s="577" t="s">
        <v>515</v>
      </c>
      <c r="F148" s="578"/>
      <c r="G148" s="578"/>
      <c r="H148" s="578"/>
      <c r="I148" s="579"/>
      <c r="J148" s="51" t="str">
        <f>'[3]VLnappe - détail'!R147</f>
        <v>NA</v>
      </c>
      <c r="K148" s="354" t="s">
        <v>515</v>
      </c>
      <c r="L148" s="319" t="s">
        <v>1524</v>
      </c>
      <c r="M148" s="330" t="s">
        <v>516</v>
      </c>
      <c r="N148" s="330" t="s">
        <v>515</v>
      </c>
      <c r="O148" s="98"/>
      <c r="P148" s="94"/>
    </row>
    <row r="149" spans="2:16" ht="45" customHeight="1">
      <c r="B149" s="177">
        <v>142</v>
      </c>
      <c r="C149" s="177" t="s">
        <v>407</v>
      </c>
      <c r="D149" s="454" t="s">
        <v>1903</v>
      </c>
      <c r="E149" s="577" t="s">
        <v>515</v>
      </c>
      <c r="F149" s="578"/>
      <c r="G149" s="578"/>
      <c r="H149" s="578"/>
      <c r="I149" s="579"/>
      <c r="J149" s="51" t="str">
        <f>'[3]VLnappe - détail'!R148</f>
        <v>NA</v>
      </c>
      <c r="K149" s="354" t="s">
        <v>515</v>
      </c>
      <c r="L149" s="319" t="s">
        <v>1524</v>
      </c>
      <c r="M149" s="330" t="s">
        <v>516</v>
      </c>
      <c r="N149" s="330" t="s">
        <v>515</v>
      </c>
      <c r="O149" s="98"/>
      <c r="P149" s="94"/>
    </row>
    <row r="150" spans="2:16">
      <c r="B150" s="177">
        <v>143</v>
      </c>
      <c r="C150" s="390" t="s">
        <v>210</v>
      </c>
      <c r="D150" s="454" t="s">
        <v>1931</v>
      </c>
      <c r="E150" s="577" t="s">
        <v>515</v>
      </c>
      <c r="F150" s="578"/>
      <c r="G150" s="578"/>
      <c r="H150" s="578"/>
      <c r="I150" s="579"/>
      <c r="J150" s="51">
        <f>'[3]VLnappe - détail'!R149</f>
        <v>2</v>
      </c>
      <c r="K150" s="352">
        <v>3.1949999999999998</v>
      </c>
      <c r="L150" s="97"/>
      <c r="M150" s="330" t="s">
        <v>514</v>
      </c>
      <c r="N150" s="330">
        <f t="shared" si="3"/>
        <v>4</v>
      </c>
      <c r="O150" s="98"/>
      <c r="P150" s="94"/>
    </row>
    <row r="151" spans="2:16" ht="45">
      <c r="B151" s="177">
        <v>144</v>
      </c>
      <c r="C151" s="48" t="s">
        <v>397</v>
      </c>
      <c r="D151" s="520" t="s">
        <v>408</v>
      </c>
      <c r="E151" s="577" t="s">
        <v>515</v>
      </c>
      <c r="F151" s="578"/>
      <c r="G151" s="578"/>
      <c r="H151" s="578"/>
      <c r="I151" s="579"/>
      <c r="J151" s="51">
        <f>'[3]VLnappe - détail'!R150</f>
        <v>1500</v>
      </c>
      <c r="K151" s="354" t="s">
        <v>515</v>
      </c>
      <c r="L151" s="319" t="s">
        <v>1524</v>
      </c>
      <c r="M151" s="330" t="s">
        <v>516</v>
      </c>
      <c r="N151" s="330">
        <f t="shared" si="3"/>
        <v>3000</v>
      </c>
      <c r="O151" s="108" t="s">
        <v>544</v>
      </c>
      <c r="P151" s="94"/>
    </row>
    <row r="152" spans="2:16" ht="45" customHeight="1">
      <c r="B152" s="177">
        <v>145</v>
      </c>
      <c r="C152" s="390" t="s">
        <v>409</v>
      </c>
      <c r="D152" s="454" t="s">
        <v>1932</v>
      </c>
      <c r="E152" s="577" t="s">
        <v>515</v>
      </c>
      <c r="F152" s="578"/>
      <c r="G152" s="578"/>
      <c r="H152" s="578"/>
      <c r="I152" s="579"/>
      <c r="J152" s="51" t="str">
        <f>'[3]VLnappe - détail'!R151</f>
        <v>NA</v>
      </c>
      <c r="K152" s="354" t="s">
        <v>515</v>
      </c>
      <c r="L152" s="319" t="s">
        <v>1524</v>
      </c>
      <c r="M152" s="330" t="s">
        <v>516</v>
      </c>
      <c r="N152" s="330" t="s">
        <v>515</v>
      </c>
      <c r="O152" s="102" t="s">
        <v>545</v>
      </c>
      <c r="P152" s="94"/>
    </row>
    <row r="153" spans="2:16" ht="45">
      <c r="B153" s="177">
        <v>146</v>
      </c>
      <c r="C153" s="177" t="s">
        <v>410</v>
      </c>
      <c r="D153" s="454" t="s">
        <v>1804</v>
      </c>
      <c r="E153" s="577" t="s">
        <v>515</v>
      </c>
      <c r="F153" s="578"/>
      <c r="G153" s="578"/>
      <c r="H153" s="578"/>
      <c r="I153" s="579"/>
      <c r="J153" s="51" t="s">
        <v>515</v>
      </c>
      <c r="K153" s="354" t="s">
        <v>515</v>
      </c>
      <c r="L153" s="319" t="s">
        <v>1524</v>
      </c>
      <c r="M153" s="330" t="s">
        <v>516</v>
      </c>
      <c r="N153" s="330" t="s">
        <v>515</v>
      </c>
      <c r="O153" s="56" t="s">
        <v>538</v>
      </c>
      <c r="P153" s="94"/>
    </row>
    <row r="154" spans="2:16" ht="45">
      <c r="B154" s="177">
        <v>147</v>
      </c>
      <c r="C154" s="177" t="s">
        <v>411</v>
      </c>
      <c r="D154" s="454" t="s">
        <v>1797</v>
      </c>
      <c r="E154" s="577" t="s">
        <v>515</v>
      </c>
      <c r="F154" s="578"/>
      <c r="G154" s="578"/>
      <c r="H154" s="578"/>
      <c r="I154" s="579"/>
      <c r="J154" s="51" t="s">
        <v>515</v>
      </c>
      <c r="K154" s="354" t="s">
        <v>515</v>
      </c>
      <c r="L154" s="319" t="s">
        <v>1524</v>
      </c>
      <c r="M154" s="330" t="s">
        <v>516</v>
      </c>
      <c r="N154" s="330" t="s">
        <v>515</v>
      </c>
      <c r="O154" s="56" t="s">
        <v>538</v>
      </c>
      <c r="P154" s="94"/>
    </row>
    <row r="155" spans="2:16" ht="90" customHeight="1">
      <c r="B155" s="177">
        <v>148</v>
      </c>
      <c r="C155" s="177" t="s">
        <v>412</v>
      </c>
      <c r="D155" s="454" t="s">
        <v>1749</v>
      </c>
      <c r="E155" s="577" t="s">
        <v>515</v>
      </c>
      <c r="F155" s="578"/>
      <c r="G155" s="578"/>
      <c r="H155" s="578"/>
      <c r="I155" s="579"/>
      <c r="J155" s="51" t="str">
        <f>'[3]VLnappe - détail'!R154</f>
        <v>NA</v>
      </c>
      <c r="K155" s="354" t="s">
        <v>515</v>
      </c>
      <c r="L155" s="319" t="s">
        <v>1524</v>
      </c>
      <c r="M155" s="330" t="s">
        <v>514</v>
      </c>
      <c r="N155" s="330" t="s">
        <v>515</v>
      </c>
      <c r="O155" s="102" t="s">
        <v>546</v>
      </c>
      <c r="P155" s="94"/>
    </row>
    <row r="156" spans="2:16" ht="45">
      <c r="B156" s="177">
        <v>149</v>
      </c>
      <c r="C156" s="177" t="s">
        <v>413</v>
      </c>
      <c r="D156" s="454" t="s">
        <v>1762</v>
      </c>
      <c r="E156" s="577" t="s">
        <v>515</v>
      </c>
      <c r="F156" s="578"/>
      <c r="G156" s="578"/>
      <c r="H156" s="578"/>
      <c r="I156" s="579"/>
      <c r="J156" s="51" t="str">
        <f>'[3]VLnappe - détail'!R155</f>
        <v>NA</v>
      </c>
      <c r="K156" s="354" t="s">
        <v>515</v>
      </c>
      <c r="L156" s="319" t="s">
        <v>1524</v>
      </c>
      <c r="M156" s="330" t="s">
        <v>514</v>
      </c>
      <c r="N156" s="330" t="s">
        <v>515</v>
      </c>
      <c r="O156" s="102" t="s">
        <v>547</v>
      </c>
      <c r="P156" s="94"/>
    </row>
    <row r="157" spans="2:16" ht="58.5" customHeight="1">
      <c r="B157" s="177">
        <v>150</v>
      </c>
      <c r="C157" s="177" t="s">
        <v>414</v>
      </c>
      <c r="D157" s="454" t="s">
        <v>1847</v>
      </c>
      <c r="E157" s="577" t="s">
        <v>515</v>
      </c>
      <c r="F157" s="578"/>
      <c r="G157" s="578"/>
      <c r="H157" s="578"/>
      <c r="I157" s="579"/>
      <c r="J157" s="51">
        <f>'[3]VLnappe - détail'!R156</f>
        <v>40</v>
      </c>
      <c r="K157" s="352">
        <v>270</v>
      </c>
      <c r="L157" s="97"/>
      <c r="M157" s="330" t="s">
        <v>514</v>
      </c>
      <c r="N157" s="330">
        <f t="shared" si="3"/>
        <v>80</v>
      </c>
      <c r="O157" s="109" t="s">
        <v>548</v>
      </c>
      <c r="P157" s="94"/>
    </row>
    <row r="158" spans="2:16">
      <c r="B158" s="177">
        <v>151</v>
      </c>
      <c r="C158" s="177" t="s">
        <v>174</v>
      </c>
      <c r="D158" s="454" t="s">
        <v>173</v>
      </c>
      <c r="E158" s="90">
        <f>'[3]VLH - détail'!F166</f>
        <v>160.40969201659274</v>
      </c>
      <c r="F158" s="90"/>
      <c r="G158" s="96">
        <f>'[3]VLH - détail'!I166</f>
        <v>4.0566109328773393E-2</v>
      </c>
      <c r="H158" s="96">
        <f>'[3]VLH - détail'!O166</f>
        <v>160.40969201659274</v>
      </c>
      <c r="I158" s="96">
        <f>'[3]VLH - détail'!P166</f>
        <v>296.70650211832697</v>
      </c>
      <c r="J158" s="51">
        <f>'[3]VLnappe - détail'!R157</f>
        <v>0.1</v>
      </c>
      <c r="K158" s="352">
        <v>4.1999999999999997E-3</v>
      </c>
      <c r="L158" s="97"/>
      <c r="M158" s="330" t="s">
        <v>520</v>
      </c>
      <c r="N158" s="330">
        <f t="shared" si="3"/>
        <v>0.2</v>
      </c>
      <c r="O158" s="98"/>
      <c r="P158" s="94"/>
    </row>
    <row r="159" spans="2:16">
      <c r="B159" s="177">
        <v>152</v>
      </c>
      <c r="C159" s="177" t="s">
        <v>150</v>
      </c>
      <c r="D159" s="454" t="s">
        <v>1737</v>
      </c>
      <c r="E159" s="90">
        <f>'[3]VLH - détail'!F167</f>
        <v>4.1090305061615764</v>
      </c>
      <c r="F159" s="90"/>
      <c r="G159" s="96">
        <f>'[3]VLH - détail'!I167</f>
        <v>1.5190036499368875E-2</v>
      </c>
      <c r="H159" s="96">
        <f>'[3]VLH - détail'!O167</f>
        <v>3.5385245830025518</v>
      </c>
      <c r="I159" s="96">
        <f>'[3]VLH - détail'!P167</f>
        <v>6.6365259829843328</v>
      </c>
      <c r="J159" s="51">
        <f>'[3]VLnappe - détail'!R158</f>
        <v>0.1</v>
      </c>
      <c r="K159" s="352">
        <v>3.5000000000000001E-3</v>
      </c>
      <c r="L159" s="97"/>
      <c r="M159" s="330" t="s">
        <v>520</v>
      </c>
      <c r="N159" s="330">
        <f t="shared" si="3"/>
        <v>0.2</v>
      </c>
      <c r="O159" s="98"/>
      <c r="P159" s="94"/>
    </row>
    <row r="160" spans="2:16">
      <c r="B160" s="177">
        <v>153</v>
      </c>
      <c r="C160" s="177" t="s">
        <v>178</v>
      </c>
      <c r="D160" s="454" t="s">
        <v>1741</v>
      </c>
      <c r="E160" s="90">
        <f>'[3]VLH - détail'!F168</f>
        <v>7005.9073811037451</v>
      </c>
      <c r="F160" s="90"/>
      <c r="G160" s="96">
        <f>'[3]VLH - détail'!I168</f>
        <v>2.4266237141888647</v>
      </c>
      <c r="H160" s="96">
        <f>'[3]VLH - détail'!O168</f>
        <v>7005.9073811037451</v>
      </c>
      <c r="I160" s="96">
        <f>'[3]VLH - détail'!P168</f>
        <v>32044.30222877931</v>
      </c>
      <c r="J160" s="51">
        <f>'[3]VLnappe - détail'!R159</f>
        <v>0.1</v>
      </c>
      <c r="K160" s="352">
        <v>5.7999999999999996E-3</v>
      </c>
      <c r="L160" s="97"/>
      <c r="M160" s="330" t="s">
        <v>520</v>
      </c>
      <c r="N160" s="330">
        <f t="shared" si="3"/>
        <v>0.2</v>
      </c>
      <c r="O160" s="98"/>
      <c r="P160" s="94"/>
    </row>
    <row r="161" spans="2:16">
      <c r="B161" s="177">
        <v>154</v>
      </c>
      <c r="C161" s="177" t="s">
        <v>151</v>
      </c>
      <c r="D161" s="454" t="s">
        <v>1751</v>
      </c>
      <c r="E161" s="577" t="s">
        <v>515</v>
      </c>
      <c r="F161" s="578"/>
      <c r="G161" s="578"/>
      <c r="H161" s="578"/>
      <c r="I161" s="579"/>
      <c r="J161" s="51">
        <f>'[3]VLnappe - détail'!R160</f>
        <v>0.1</v>
      </c>
      <c r="K161" s="352">
        <v>1.9E-3</v>
      </c>
      <c r="L161" s="97"/>
      <c r="M161" s="330" t="s">
        <v>520</v>
      </c>
      <c r="N161" s="330">
        <f t="shared" si="3"/>
        <v>0.2</v>
      </c>
      <c r="O161" s="98"/>
      <c r="P161" s="94"/>
    </row>
    <row r="162" spans="2:16">
      <c r="B162" s="177">
        <v>155</v>
      </c>
      <c r="C162" s="177" t="s">
        <v>415</v>
      </c>
      <c r="D162" s="454" t="s">
        <v>1760</v>
      </c>
      <c r="E162" s="90">
        <f>'[3]VLH - détail'!F170</f>
        <v>4670.6049207358301</v>
      </c>
      <c r="F162" s="90"/>
      <c r="G162" s="96">
        <f>'[3]VLH - détail'!I170</f>
        <v>12.164790134978812</v>
      </c>
      <c r="H162" s="96">
        <f>'[3]VLH - détail'!O170</f>
        <v>4670.6049207358301</v>
      </c>
      <c r="I162" s="96">
        <f>'[3]VLH - détail'!P170</f>
        <v>21362.868152519542</v>
      </c>
      <c r="J162" s="51">
        <f>'[3]VLnappe - détail'!R161</f>
        <v>0.1</v>
      </c>
      <c r="K162" s="352">
        <v>6.7999999999999996E-3</v>
      </c>
      <c r="L162" s="97"/>
      <c r="M162" s="330" t="s">
        <v>520</v>
      </c>
      <c r="N162" s="330">
        <f t="shared" si="3"/>
        <v>0.2</v>
      </c>
      <c r="O162" s="98"/>
      <c r="P162" s="94"/>
    </row>
    <row r="163" spans="2:16" ht="45">
      <c r="B163" s="177">
        <v>156</v>
      </c>
      <c r="C163" s="177" t="s">
        <v>152</v>
      </c>
      <c r="D163" s="454" t="s">
        <v>1761</v>
      </c>
      <c r="E163" s="577" t="s">
        <v>515</v>
      </c>
      <c r="F163" s="578"/>
      <c r="G163" s="578"/>
      <c r="H163" s="578"/>
      <c r="I163" s="579"/>
      <c r="J163" s="51">
        <f>'[3]VLnappe - détail'!R162</f>
        <v>0.1</v>
      </c>
      <c r="K163" s="352" t="s">
        <v>515</v>
      </c>
      <c r="L163" s="319" t="s">
        <v>1569</v>
      </c>
      <c r="M163" s="330" t="s">
        <v>520</v>
      </c>
      <c r="N163" s="330">
        <f t="shared" si="3"/>
        <v>0.2</v>
      </c>
      <c r="O163" s="98"/>
      <c r="P163" s="94"/>
    </row>
    <row r="164" spans="2:16">
      <c r="B164" s="177">
        <v>157</v>
      </c>
      <c r="C164" s="177" t="s">
        <v>153</v>
      </c>
      <c r="D164" s="454" t="s">
        <v>1763</v>
      </c>
      <c r="E164" s="90">
        <f>'[3]VLH - détail'!F172</f>
        <v>23353.024603679154</v>
      </c>
      <c r="F164" s="90"/>
      <c r="G164" s="96">
        <f>'[3]VLH - détail'!I172</f>
        <v>8.068464855554252</v>
      </c>
      <c r="H164" s="96">
        <f>'[3]VLH - détail'!O172</f>
        <v>23353.024603679154</v>
      </c>
      <c r="I164" s="96">
        <f>'[3]VLH - détail'!P172</f>
        <v>106814.3407625977</v>
      </c>
      <c r="J164" s="51">
        <f>'[3]VLnappe - détail'!R163</f>
        <v>0.1</v>
      </c>
      <c r="K164" s="352">
        <v>4.3E-3</v>
      </c>
      <c r="L164" s="97"/>
      <c r="M164" s="330" t="s">
        <v>520</v>
      </c>
      <c r="N164" s="330">
        <f t="shared" si="3"/>
        <v>0.2</v>
      </c>
      <c r="O164" s="98"/>
      <c r="P164" s="94"/>
    </row>
    <row r="165" spans="2:16">
      <c r="B165" s="177">
        <v>158</v>
      </c>
      <c r="C165" s="177" t="s">
        <v>416</v>
      </c>
      <c r="D165" s="454" t="s">
        <v>1768</v>
      </c>
      <c r="E165" s="90">
        <f>'[3]VLH - détail'!F173</f>
        <v>11676.512301839577</v>
      </c>
      <c r="F165" s="90"/>
      <c r="G165" s="96">
        <f>'[3]VLH - détail'!I173</f>
        <v>5.652143902650403</v>
      </c>
      <c r="H165" s="96">
        <f>'[3]VLH - détail'!O173</f>
        <v>11676.512301839577</v>
      </c>
      <c r="I165" s="96">
        <f>'[3]VLH - détail'!P173</f>
        <v>53407.170381298849</v>
      </c>
      <c r="J165" s="51">
        <f>'[3]VLnappe - détail'!R164</f>
        <v>0.1</v>
      </c>
      <c r="K165" s="352">
        <v>9.4000000000000004E-3</v>
      </c>
      <c r="L165" s="97"/>
      <c r="M165" s="330" t="s">
        <v>520</v>
      </c>
      <c r="N165" s="330">
        <f t="shared" si="3"/>
        <v>0.2</v>
      </c>
      <c r="O165" s="98"/>
      <c r="P165" s="94"/>
    </row>
    <row r="166" spans="2:16">
      <c r="B166" s="177">
        <v>159</v>
      </c>
      <c r="C166" s="177" t="s">
        <v>172</v>
      </c>
      <c r="D166" s="454" t="s">
        <v>1769</v>
      </c>
      <c r="E166" s="90">
        <f>'[3]VLH - détail'!F174</f>
        <v>2638.8917802157439</v>
      </c>
      <c r="F166" s="90"/>
      <c r="G166" s="96">
        <f>'[3]VLH - détail'!I174</f>
        <v>2.3416193199819029</v>
      </c>
      <c r="H166" s="96">
        <f>'[3]VLH - détail'!O174</f>
        <v>2638.8917802157439</v>
      </c>
      <c r="I166" s="96">
        <f>'[3]VLH - détail'!P174</f>
        <v>12070.02050617354</v>
      </c>
      <c r="J166" s="51">
        <f>'[3]VLnappe - détail'!R165</f>
        <v>0.1</v>
      </c>
      <c r="K166" s="352">
        <v>4.7999999999999996E-3</v>
      </c>
      <c r="L166" s="97"/>
      <c r="M166" s="330" t="s">
        <v>520</v>
      </c>
      <c r="N166" s="330">
        <f t="shared" si="3"/>
        <v>0.2</v>
      </c>
      <c r="O166" s="98"/>
      <c r="P166" s="94"/>
    </row>
    <row r="167" spans="2:16">
      <c r="B167" s="177">
        <v>160</v>
      </c>
      <c r="C167" s="177" t="s">
        <v>154</v>
      </c>
      <c r="D167" s="454" t="s">
        <v>1778</v>
      </c>
      <c r="E167" s="90">
        <f>'[3]VLH - détail'!F175</f>
        <v>46.238988715284719</v>
      </c>
      <c r="F167" s="90"/>
      <c r="G167" s="96">
        <f>'[3]VLH - détail'!I175</f>
        <v>1.5651987792184675E-2</v>
      </c>
      <c r="H167" s="96">
        <f>'[3]VLH - détail'!O175</f>
        <v>46.238988715284719</v>
      </c>
      <c r="I167" s="96">
        <f>'[3]VLH - détail'!P175</f>
        <v>211.49239470994343</v>
      </c>
      <c r="J167" s="51">
        <f>'[3]VLnappe - détail'!R166</f>
        <v>0.1</v>
      </c>
      <c r="K167" s="352">
        <v>4.0000000000000001E-3</v>
      </c>
      <c r="L167" s="97"/>
      <c r="M167" s="330" t="s">
        <v>520</v>
      </c>
      <c r="N167" s="330">
        <f t="shared" si="3"/>
        <v>0.2</v>
      </c>
      <c r="O167" s="98"/>
      <c r="P167" s="94"/>
    </row>
    <row r="168" spans="2:16">
      <c r="B168" s="177">
        <v>161</v>
      </c>
      <c r="C168" s="177" t="s">
        <v>417</v>
      </c>
      <c r="D168" s="454" t="s">
        <v>1783</v>
      </c>
      <c r="E168" s="577" t="s">
        <v>515</v>
      </c>
      <c r="F168" s="578"/>
      <c r="G168" s="578"/>
      <c r="H168" s="578"/>
      <c r="I168" s="579"/>
      <c r="J168" s="51">
        <f>'[3]VLnappe - détail'!R167</f>
        <v>0.1</v>
      </c>
      <c r="K168" s="352">
        <v>6.9999999999999999E-4</v>
      </c>
      <c r="L168" s="97"/>
      <c r="M168" s="330" t="s">
        <v>516</v>
      </c>
      <c r="N168" s="330">
        <f t="shared" si="3"/>
        <v>0.2</v>
      </c>
      <c r="O168" s="98"/>
      <c r="P168" s="94"/>
    </row>
    <row r="169" spans="2:16" ht="45">
      <c r="B169" s="177">
        <v>162</v>
      </c>
      <c r="C169" s="177" t="s">
        <v>418</v>
      </c>
      <c r="D169" s="454" t="s">
        <v>1784</v>
      </c>
      <c r="E169" s="577" t="s">
        <v>515</v>
      </c>
      <c r="F169" s="578"/>
      <c r="G169" s="578"/>
      <c r="H169" s="578"/>
      <c r="I169" s="579"/>
      <c r="J169" s="51">
        <f>'[3]VLnappe - détail'!R168</f>
        <v>0.1</v>
      </c>
      <c r="K169" s="352" t="s">
        <v>515</v>
      </c>
      <c r="L169" s="319" t="s">
        <v>1569</v>
      </c>
      <c r="M169" s="330" t="s">
        <v>516</v>
      </c>
      <c r="N169" s="330">
        <f t="shared" si="3"/>
        <v>0.2</v>
      </c>
      <c r="O169" s="98"/>
      <c r="P169" s="94"/>
    </row>
    <row r="170" spans="2:16" ht="45">
      <c r="B170" s="177">
        <v>163</v>
      </c>
      <c r="C170" s="177" t="s">
        <v>419</v>
      </c>
      <c r="D170" s="454" t="s">
        <v>1782</v>
      </c>
      <c r="E170" s="577" t="s">
        <v>515</v>
      </c>
      <c r="F170" s="578"/>
      <c r="G170" s="578"/>
      <c r="H170" s="578"/>
      <c r="I170" s="579"/>
      <c r="J170" s="51">
        <f>'[3]VLnappe - détail'!R169</f>
        <v>0.1</v>
      </c>
      <c r="K170" s="352" t="s">
        <v>515</v>
      </c>
      <c r="L170" s="319" t="s">
        <v>1569</v>
      </c>
      <c r="M170" s="330" t="s">
        <v>516</v>
      </c>
      <c r="N170" s="330">
        <f t="shared" si="3"/>
        <v>0.2</v>
      </c>
      <c r="O170" s="98"/>
      <c r="P170" s="94"/>
    </row>
    <row r="171" spans="2:16">
      <c r="B171" s="177">
        <v>164</v>
      </c>
      <c r="C171" s="177" t="s">
        <v>179</v>
      </c>
      <c r="D171" s="454" t="s">
        <v>1790</v>
      </c>
      <c r="E171" s="90">
        <f>'[3]VLH - détail'!F179</f>
        <v>7005.9073811037451</v>
      </c>
      <c r="F171" s="90"/>
      <c r="G171" s="96">
        <f>'[3]VLH - détail'!I179</f>
        <v>2.3713721413326669</v>
      </c>
      <c r="H171" s="96">
        <f>'[3]VLH - détail'!O179</f>
        <v>7005.9073811037451</v>
      </c>
      <c r="I171" s="96">
        <f>'[3]VLH - détail'!P179</f>
        <v>32044.30222877931</v>
      </c>
      <c r="J171" s="51">
        <f>'[3]VLnappe - détail'!R170</f>
        <v>0.1</v>
      </c>
      <c r="K171" s="352">
        <v>5.0000000000000001E-4</v>
      </c>
      <c r="L171" s="97"/>
      <c r="M171" s="330" t="s">
        <v>520</v>
      </c>
      <c r="N171" s="330">
        <f t="shared" si="3"/>
        <v>0.2</v>
      </c>
      <c r="O171" s="98"/>
      <c r="P171" s="94"/>
    </row>
    <row r="172" spans="2:16" s="101" customFormat="1" ht="45">
      <c r="B172" s="177">
        <v>165</v>
      </c>
      <c r="C172" s="177" t="s">
        <v>155</v>
      </c>
      <c r="D172" s="454" t="s">
        <v>1290</v>
      </c>
      <c r="E172" s="577" t="s">
        <v>515</v>
      </c>
      <c r="F172" s="578"/>
      <c r="G172" s="578"/>
      <c r="H172" s="578"/>
      <c r="I172" s="579"/>
      <c r="J172" s="51">
        <f>'[3]VLnappe - détail'!R171</f>
        <v>0.1</v>
      </c>
      <c r="K172" s="352" t="s">
        <v>515</v>
      </c>
      <c r="L172" s="319" t="s">
        <v>1569</v>
      </c>
      <c r="M172" s="330" t="s">
        <v>520</v>
      </c>
      <c r="N172" s="330">
        <f t="shared" si="3"/>
        <v>0.2</v>
      </c>
      <c r="O172" s="98"/>
      <c r="P172" s="94"/>
    </row>
    <row r="173" spans="2:16">
      <c r="B173" s="177">
        <v>166</v>
      </c>
      <c r="C173" s="177" t="s">
        <v>156</v>
      </c>
      <c r="D173" s="454" t="s">
        <v>1813</v>
      </c>
      <c r="E173" s="90">
        <f>'[3]VLH - détail'!F181</f>
        <v>467.06049207358308</v>
      </c>
      <c r="F173" s="90"/>
      <c r="G173" s="96">
        <f>'[3]VLH - détail'!I181</f>
        <v>0.45643919050443116</v>
      </c>
      <c r="H173" s="96">
        <f>'[3]VLH - détail'!O181</f>
        <v>467.06049207358308</v>
      </c>
      <c r="I173" s="96">
        <f>'[3]VLH - détail'!P181</f>
        <v>2136.2868152519541</v>
      </c>
      <c r="J173" s="51">
        <f>'[3]VLnappe - détail'!R172</f>
        <v>0.1</v>
      </c>
      <c r="K173" s="352">
        <v>8.2000000000000007E-3</v>
      </c>
      <c r="L173" s="97"/>
      <c r="M173" s="330" t="s">
        <v>520</v>
      </c>
      <c r="N173" s="330">
        <f t="shared" si="3"/>
        <v>0.2</v>
      </c>
      <c r="O173" s="98"/>
      <c r="P173" s="94"/>
    </row>
    <row r="174" spans="2:16">
      <c r="B174" s="177">
        <v>167</v>
      </c>
      <c r="C174" s="177" t="s">
        <v>157</v>
      </c>
      <c r="D174" s="454" t="s">
        <v>1823</v>
      </c>
      <c r="E174" s="90">
        <f>'[3]VLH - détail'!F182</f>
        <v>16347.117222575407</v>
      </c>
      <c r="F174" s="90"/>
      <c r="G174" s="96">
        <f>'[3]VLH - détail'!I182</f>
        <v>9.1651599670876003</v>
      </c>
      <c r="H174" s="96">
        <f>'[3]VLH - détail'!O182</f>
        <v>16347.117222575407</v>
      </c>
      <c r="I174" s="96">
        <f>'[3]VLH - détail'!P182</f>
        <v>74770.038533818399</v>
      </c>
      <c r="J174" s="51">
        <f>'[3]VLnappe - détail'!R173</f>
        <v>0.1</v>
      </c>
      <c r="K174" s="352">
        <v>4.7000000000000002E-3</v>
      </c>
      <c r="L174" s="97"/>
      <c r="M174" s="330" t="s">
        <v>520</v>
      </c>
      <c r="N174" s="330">
        <f t="shared" si="3"/>
        <v>0.2</v>
      </c>
      <c r="O174" s="98"/>
      <c r="P174" s="94"/>
    </row>
    <row r="175" spans="2:16" ht="30">
      <c r="B175" s="177">
        <v>168</v>
      </c>
      <c r="C175" s="177" t="s">
        <v>180</v>
      </c>
      <c r="D175" s="454" t="s">
        <v>1827</v>
      </c>
      <c r="E175" s="577" t="s">
        <v>515</v>
      </c>
      <c r="F175" s="578"/>
      <c r="G175" s="578"/>
      <c r="H175" s="578"/>
      <c r="I175" s="579"/>
      <c r="J175" s="51">
        <f>'[3]VLnappe - détail'!R174</f>
        <v>0.1</v>
      </c>
      <c r="K175" s="352">
        <v>1.8E-3</v>
      </c>
      <c r="L175" s="97"/>
      <c r="M175" s="330" t="s">
        <v>516</v>
      </c>
      <c r="N175" s="330">
        <f t="shared" si="3"/>
        <v>0.2</v>
      </c>
      <c r="O175" s="98"/>
      <c r="P175" s="94"/>
    </row>
    <row r="176" spans="2:16" ht="45">
      <c r="B176" s="177">
        <v>169</v>
      </c>
      <c r="C176" s="177" t="s">
        <v>158</v>
      </c>
      <c r="D176" s="454" t="s">
        <v>1837</v>
      </c>
      <c r="E176" s="90">
        <f>'[3]VLH - détail'!F184</f>
        <v>7706.4981192141213</v>
      </c>
      <c r="F176" s="90"/>
      <c r="G176" s="96">
        <f>'[3]VLH - détail'!I184</f>
        <v>2.0398057066306956</v>
      </c>
      <c r="H176" s="96">
        <f>'[3]VLH - détail'!O184</f>
        <v>7706.4981192141213</v>
      </c>
      <c r="I176" s="96">
        <f>'[3]VLH - détail'!P184</f>
        <v>35248.732451657241</v>
      </c>
      <c r="J176" s="51">
        <f>'[3]VLnappe - détail'!R175</f>
        <v>0.1</v>
      </c>
      <c r="K176" s="352">
        <v>5.9000000000000003E-4</v>
      </c>
      <c r="L176" s="97"/>
      <c r="M176" s="330" t="s">
        <v>520</v>
      </c>
      <c r="N176" s="330">
        <f t="shared" si="3"/>
        <v>0.2</v>
      </c>
      <c r="O176" s="98"/>
      <c r="P176" s="94"/>
    </row>
    <row r="177" spans="2:16">
      <c r="B177" s="177">
        <v>170</v>
      </c>
      <c r="C177" s="177" t="s">
        <v>159</v>
      </c>
      <c r="D177" s="454" t="s">
        <v>1843</v>
      </c>
      <c r="E177" s="90">
        <f>'[3]VLH - détail'!F185</f>
        <v>700.59073811037456</v>
      </c>
      <c r="F177" s="90"/>
      <c r="G177" s="96">
        <f>'[3]VLH - détail'!I185</f>
        <v>0.31110547240009945</v>
      </c>
      <c r="H177" s="96">
        <f>'[3]VLH - détail'!O185</f>
        <v>700.59073811037456</v>
      </c>
      <c r="I177" s="96">
        <f>'[3]VLH - détail'!P185</f>
        <v>3204.4302228779306</v>
      </c>
      <c r="J177" s="51">
        <f>'[3]VLnappe - détail'!R176</f>
        <v>0.1</v>
      </c>
      <c r="K177" s="352">
        <v>3.0000000000000001E-3</v>
      </c>
      <c r="L177" s="97"/>
      <c r="M177" s="330" t="s">
        <v>520</v>
      </c>
      <c r="N177" s="330">
        <f t="shared" si="3"/>
        <v>0.2</v>
      </c>
      <c r="O177" s="98"/>
      <c r="P177" s="94"/>
    </row>
    <row r="178" spans="2:16">
      <c r="B178" s="177">
        <v>171</v>
      </c>
      <c r="C178" s="177" t="s">
        <v>160</v>
      </c>
      <c r="D178" s="454" t="s">
        <v>1846</v>
      </c>
      <c r="E178" s="90">
        <f>'[3]VLH - détail'!F186</f>
        <v>467.06049207358308</v>
      </c>
      <c r="F178" s="90"/>
      <c r="G178" s="96">
        <f>'[3]VLH - détail'!I186</f>
        <v>0.46470976482626952</v>
      </c>
      <c r="H178" s="96">
        <f>'[3]VLH - détail'!O186</f>
        <v>467.06049207358308</v>
      </c>
      <c r="I178" s="96">
        <f>'[3]VLH - détail'!P186</f>
        <v>2136.2868152519541</v>
      </c>
      <c r="J178" s="51">
        <f>'[3]VLnappe - détail'!R177</f>
        <v>0.1</v>
      </c>
      <c r="K178" s="352">
        <v>9.7999999999999997E-3</v>
      </c>
      <c r="L178" s="97"/>
      <c r="M178" s="330" t="s">
        <v>520</v>
      </c>
      <c r="N178" s="330">
        <f t="shared" si="3"/>
        <v>0.2</v>
      </c>
      <c r="O178" s="98"/>
      <c r="P178" s="94"/>
    </row>
    <row r="179" spans="2:16" ht="30">
      <c r="B179" s="177">
        <v>172</v>
      </c>
      <c r="C179" s="177" t="s">
        <v>161</v>
      </c>
      <c r="D179" s="454" t="s">
        <v>1854</v>
      </c>
      <c r="E179" s="90">
        <f>'[3]VLH - détail'!F187</f>
        <v>7005.9073811037451</v>
      </c>
      <c r="F179" s="90"/>
      <c r="G179" s="96">
        <f>'[3]VLH - détail'!I187</f>
        <v>1.9315351825712983</v>
      </c>
      <c r="H179" s="96">
        <f>'[3]VLH - détail'!O187</f>
        <v>7005.9073811037451</v>
      </c>
      <c r="I179" s="96">
        <f>'[3]VLH - détail'!P187</f>
        <v>32044.30222877931</v>
      </c>
      <c r="J179" s="51">
        <f>'[3]VLnappe - détail'!R178</f>
        <v>0.1</v>
      </c>
      <c r="K179" s="352">
        <v>5.1000000000000004E-4</v>
      </c>
      <c r="L179" s="97"/>
      <c r="M179" s="330" t="s">
        <v>520</v>
      </c>
      <c r="N179" s="330">
        <f t="shared" si="3"/>
        <v>0.2</v>
      </c>
      <c r="O179" s="98"/>
      <c r="P179" s="94"/>
    </row>
    <row r="180" spans="2:16" ht="30">
      <c r="B180" s="177">
        <v>173</v>
      </c>
      <c r="C180" s="177" t="s">
        <v>162</v>
      </c>
      <c r="D180" s="454" t="s">
        <v>1856</v>
      </c>
      <c r="E180" s="90">
        <f>'[3]VLH - détail'!F188</f>
        <v>18682.41968294332</v>
      </c>
      <c r="F180" s="90"/>
      <c r="G180" s="96">
        <f>'[3]VLH - détail'!I188</f>
        <v>6.8503761939898338</v>
      </c>
      <c r="H180" s="96">
        <f>'[3]VLH - détail'!O188</f>
        <v>18682.41968294332</v>
      </c>
      <c r="I180" s="96">
        <f>'[3]VLH - détail'!P188</f>
        <v>85451.47261007817</v>
      </c>
      <c r="J180" s="51">
        <f>'[3]VLnappe - détail'!R179</f>
        <v>0.1</v>
      </c>
      <c r="K180" s="352">
        <v>1.6000000000000001E-3</v>
      </c>
      <c r="L180" s="97"/>
      <c r="M180" s="330" t="s">
        <v>520</v>
      </c>
      <c r="N180" s="330">
        <f t="shared" si="3"/>
        <v>0.2</v>
      </c>
      <c r="O180" s="98"/>
      <c r="P180" s="94"/>
    </row>
    <row r="181" spans="2:16">
      <c r="B181" s="177">
        <v>174</v>
      </c>
      <c r="C181" s="177" t="s">
        <v>163</v>
      </c>
      <c r="D181" s="454" t="s">
        <v>1857</v>
      </c>
      <c r="E181" s="577" t="s">
        <v>515</v>
      </c>
      <c r="F181" s="578"/>
      <c r="G181" s="578"/>
      <c r="H181" s="578"/>
      <c r="I181" s="579"/>
      <c r="J181" s="51">
        <f>'[3]VLnappe - détail'!R180</f>
        <v>0.1</v>
      </c>
      <c r="K181" s="352">
        <v>1.14E-2</v>
      </c>
      <c r="L181" s="97"/>
      <c r="M181" s="330" t="s">
        <v>520</v>
      </c>
      <c r="N181" s="330">
        <f t="shared" si="3"/>
        <v>0.2</v>
      </c>
      <c r="O181" s="98"/>
      <c r="P181" s="94"/>
    </row>
    <row r="182" spans="2:16">
      <c r="B182" s="177">
        <v>175</v>
      </c>
      <c r="C182" s="177" t="s">
        <v>164</v>
      </c>
      <c r="D182" s="454" t="s">
        <v>1860</v>
      </c>
      <c r="E182" s="90">
        <f>'[3]VLH - détail'!F190</f>
        <v>1868.2419682943323</v>
      </c>
      <c r="F182" s="90"/>
      <c r="G182" s="96">
        <f>'[3]VLH - détail'!I190</f>
        <v>0.81734114841509053</v>
      </c>
      <c r="H182" s="96">
        <f>'[3]VLH - détail'!O190</f>
        <v>1868.2419682943323</v>
      </c>
      <c r="I182" s="96">
        <f>'[3]VLH - détail'!P190</f>
        <v>8545.1472610078163</v>
      </c>
      <c r="J182" s="51">
        <f>'[3]VLnappe - détail'!R181</f>
        <v>0.1</v>
      </c>
      <c r="K182" s="352">
        <v>2.5000000000000001E-3</v>
      </c>
      <c r="L182" s="97"/>
      <c r="M182" s="330" t="s">
        <v>520</v>
      </c>
      <c r="N182" s="330">
        <f t="shared" si="3"/>
        <v>0.2</v>
      </c>
      <c r="O182" s="98"/>
      <c r="P182" s="94"/>
    </row>
    <row r="183" spans="2:16" ht="30">
      <c r="B183" s="177">
        <v>176</v>
      </c>
      <c r="C183" s="391" t="s">
        <v>165</v>
      </c>
      <c r="D183" s="454" t="s">
        <v>1862</v>
      </c>
      <c r="E183" s="90">
        <f>'[3]VLH - détail'!F191</f>
        <v>817.35586112877036</v>
      </c>
      <c r="F183" s="90"/>
      <c r="G183" s="96">
        <f>'[3]VLH - détail'!I191</f>
        <v>0.25297501805843886</v>
      </c>
      <c r="H183" s="96">
        <f>'[3]VLH - détail'!O191</f>
        <v>817.35586112877036</v>
      </c>
      <c r="I183" s="96">
        <f>'[3]VLH - détail'!P191</f>
        <v>3738.5019266909194</v>
      </c>
      <c r="J183" s="51">
        <f>'[3]VLnappe - détail'!R182</f>
        <v>0.1</v>
      </c>
      <c r="K183" s="352">
        <v>4.7000000000000002E-3</v>
      </c>
      <c r="L183" s="97"/>
      <c r="M183" s="330" t="s">
        <v>520</v>
      </c>
      <c r="N183" s="330">
        <f t="shared" si="3"/>
        <v>0.2</v>
      </c>
      <c r="O183" s="98"/>
      <c r="P183" s="94"/>
    </row>
    <row r="184" spans="2:16" ht="45">
      <c r="B184" s="177">
        <v>177</v>
      </c>
      <c r="C184" s="391" t="s">
        <v>420</v>
      </c>
      <c r="D184" s="454" t="s">
        <v>1863</v>
      </c>
      <c r="E184" s="577" t="s">
        <v>515</v>
      </c>
      <c r="F184" s="578"/>
      <c r="G184" s="578"/>
      <c r="H184" s="578"/>
      <c r="I184" s="579"/>
      <c r="J184" s="51">
        <f>'[3]VLnappe - détail'!R183</f>
        <v>0.1</v>
      </c>
      <c r="K184" s="352" t="s">
        <v>515</v>
      </c>
      <c r="L184" s="319" t="s">
        <v>1569</v>
      </c>
      <c r="M184" s="330" t="s">
        <v>516</v>
      </c>
      <c r="N184" s="330">
        <f t="shared" si="3"/>
        <v>0.2</v>
      </c>
      <c r="O184" s="98"/>
      <c r="P184" s="94"/>
    </row>
    <row r="185" spans="2:16">
      <c r="B185" s="177">
        <v>178</v>
      </c>
      <c r="C185" s="391" t="s">
        <v>166</v>
      </c>
      <c r="D185" s="454" t="s">
        <v>1866</v>
      </c>
      <c r="E185" s="90">
        <f>'[3]VLH - détail'!F193</f>
        <v>700.59073811037456</v>
      </c>
      <c r="F185" s="90"/>
      <c r="G185" s="96">
        <f>'[3]VLH - détail'!I193</f>
        <v>0.39531418522807871</v>
      </c>
      <c r="H185" s="96">
        <f>'[3]VLH - détail'!O193</f>
        <v>700.59073811037456</v>
      </c>
      <c r="I185" s="96">
        <f>'[3]VLH - détail'!P193</f>
        <v>3204.4302228779306</v>
      </c>
      <c r="J185" s="51">
        <f>'[3]VLnappe - détail'!R184</f>
        <v>0.1</v>
      </c>
      <c r="K185" s="352">
        <v>2.3999999999999998E-3</v>
      </c>
      <c r="L185" s="97"/>
      <c r="M185" s="330" t="s">
        <v>520</v>
      </c>
      <c r="N185" s="330">
        <f t="shared" si="3"/>
        <v>0.2</v>
      </c>
      <c r="O185" s="98"/>
      <c r="P185" s="94"/>
    </row>
    <row r="186" spans="2:16">
      <c r="B186" s="177">
        <v>179</v>
      </c>
      <c r="C186" s="391" t="s">
        <v>110</v>
      </c>
      <c r="D186" s="454" t="s">
        <v>1896</v>
      </c>
      <c r="E186" s="429">
        <v>28.48</v>
      </c>
      <c r="F186" s="429">
        <v>1.4630000000000001</v>
      </c>
      <c r="G186" s="429">
        <v>2.1120000000000001</v>
      </c>
      <c r="H186" s="429">
        <v>28.48</v>
      </c>
      <c r="I186" s="429">
        <v>66.09</v>
      </c>
      <c r="J186" s="51">
        <f>'[3]VLnappe - détail'!R185</f>
        <v>0.1</v>
      </c>
      <c r="K186" s="352">
        <v>6.9800000000000001E-2</v>
      </c>
      <c r="L186" s="97"/>
      <c r="M186" s="330">
        <v>2283</v>
      </c>
      <c r="N186" s="330">
        <f t="shared" si="3"/>
        <v>0.2</v>
      </c>
      <c r="O186" s="98"/>
      <c r="P186" s="94"/>
    </row>
    <row r="187" spans="2:16">
      <c r="B187" s="177">
        <v>180</v>
      </c>
      <c r="C187" s="391" t="s">
        <v>421</v>
      </c>
      <c r="D187" s="454" t="s">
        <v>1904</v>
      </c>
      <c r="E187" s="90">
        <f>'[3]VLH - détail'!F195</f>
        <v>934.12098414716615</v>
      </c>
      <c r="F187" s="90"/>
      <c r="G187" s="96">
        <f>'[3]VLH - détail'!I195</f>
        <v>0.53531866416774199</v>
      </c>
      <c r="H187" s="96">
        <f>'[3]VLH - détail'!O195</f>
        <v>934.12098414716615</v>
      </c>
      <c r="I187" s="96">
        <f>'[3]VLH - détail'!P195</f>
        <v>4272.5736305039081</v>
      </c>
      <c r="J187" s="51">
        <f>'[3]VLnappe - détail'!R186</f>
        <v>0.1</v>
      </c>
      <c r="K187" s="352">
        <v>8.9999999999999993E-3</v>
      </c>
      <c r="L187" s="97"/>
      <c r="M187" s="330" t="s">
        <v>520</v>
      </c>
      <c r="N187" s="330">
        <f t="shared" si="3"/>
        <v>0.2</v>
      </c>
      <c r="O187" s="98"/>
      <c r="P187" s="94"/>
    </row>
    <row r="188" spans="2:16">
      <c r="B188" s="177">
        <v>181</v>
      </c>
      <c r="C188" s="177" t="s">
        <v>422</v>
      </c>
      <c r="D188" s="454" t="s">
        <v>1905</v>
      </c>
      <c r="E188" s="90">
        <f>'[3]VLH - détail'!F196</f>
        <v>3035.8931984782894</v>
      </c>
      <c r="F188" s="90"/>
      <c r="G188" s="96">
        <f>'[3]VLH - détail'!I196</f>
        <v>3.0036829279116017</v>
      </c>
      <c r="H188" s="96">
        <f>'[3]VLH - détail'!O196</f>
        <v>3035.8931984782894</v>
      </c>
      <c r="I188" s="96">
        <f>'[3]VLH - détail'!P196</f>
        <v>13885.8642991377</v>
      </c>
      <c r="J188" s="51">
        <f>'[3]VLnappe - détail'!R187</f>
        <v>0.1</v>
      </c>
      <c r="K188" s="352">
        <v>5.0000000000000001E-3</v>
      </c>
      <c r="L188" s="97"/>
      <c r="M188" s="330" t="s">
        <v>520</v>
      </c>
      <c r="N188" s="330">
        <f t="shared" si="3"/>
        <v>0.2</v>
      </c>
      <c r="O188" s="98"/>
      <c r="P188" s="94"/>
    </row>
    <row r="189" spans="2:16">
      <c r="B189" s="177">
        <v>182</v>
      </c>
      <c r="C189" s="177" t="s">
        <v>423</v>
      </c>
      <c r="D189" s="454" t="s">
        <v>1907</v>
      </c>
      <c r="E189" s="90">
        <f>'[3]VLH - détail'!F197</f>
        <v>1167.6512301839575</v>
      </c>
      <c r="F189" s="90"/>
      <c r="G189" s="96">
        <f>'[3]VLH - détail'!I197</f>
        <v>0.57059957013381202</v>
      </c>
      <c r="H189" s="96">
        <f>'[3]VLH - détail'!O197</f>
        <v>1167.6512301839575</v>
      </c>
      <c r="I189" s="96">
        <f>'[3]VLH - détail'!P197</f>
        <v>5340.7170381298856</v>
      </c>
      <c r="J189" s="51">
        <f>'[3]VLnappe - détail'!R188</f>
        <v>0.1</v>
      </c>
      <c r="K189" s="352">
        <v>4.1999999999999997E-3</v>
      </c>
      <c r="L189" s="97"/>
      <c r="M189" s="330" t="s">
        <v>520</v>
      </c>
      <c r="N189" s="330">
        <f t="shared" si="3"/>
        <v>0.2</v>
      </c>
      <c r="O189" s="98"/>
      <c r="P189" s="94"/>
    </row>
    <row r="190" spans="2:16">
      <c r="B190" s="177">
        <v>183</v>
      </c>
      <c r="C190" s="177" t="s">
        <v>167</v>
      </c>
      <c r="D190" s="454" t="s">
        <v>1908</v>
      </c>
      <c r="E190" s="90">
        <f>'[3]VLH - détail'!F198</f>
        <v>4670.6049207358301</v>
      </c>
      <c r="F190" s="90"/>
      <c r="G190" s="96">
        <f>'[3]VLH - détail'!I198</f>
        <v>1.940635788709957</v>
      </c>
      <c r="H190" s="96">
        <f>'[3]VLH - détail'!O198</f>
        <v>4670.6049207358301</v>
      </c>
      <c r="I190" s="96">
        <f>'[3]VLH - détail'!P198</f>
        <v>21362.868152519542</v>
      </c>
      <c r="J190" s="51">
        <f>'[3]VLnappe - détail'!R189</f>
        <v>0.1</v>
      </c>
      <c r="K190" s="352">
        <v>4.4000000000000003E-3</v>
      </c>
      <c r="L190" s="97"/>
      <c r="M190" s="330" t="s">
        <v>520</v>
      </c>
      <c r="N190" s="330">
        <f t="shared" si="3"/>
        <v>0.2</v>
      </c>
      <c r="O190" s="98"/>
      <c r="P190" s="94"/>
    </row>
    <row r="191" spans="2:16" ht="45">
      <c r="B191" s="177">
        <v>184</v>
      </c>
      <c r="C191" s="177" t="s">
        <v>168</v>
      </c>
      <c r="D191" s="454" t="s">
        <v>1912</v>
      </c>
      <c r="E191" s="577" t="s">
        <v>515</v>
      </c>
      <c r="F191" s="578"/>
      <c r="G191" s="578"/>
      <c r="H191" s="578"/>
      <c r="I191" s="579"/>
      <c r="J191" s="51">
        <f>'[3]VLnappe - détail'!R190</f>
        <v>0.1</v>
      </c>
      <c r="K191" s="352" t="s">
        <v>515</v>
      </c>
      <c r="L191" s="319" t="s">
        <v>1569</v>
      </c>
      <c r="M191" s="330" t="s">
        <v>516</v>
      </c>
      <c r="N191" s="330">
        <f t="shared" si="3"/>
        <v>0.2</v>
      </c>
      <c r="O191" s="98"/>
      <c r="P191" s="94"/>
    </row>
    <row r="192" spans="2:16">
      <c r="B192" s="177">
        <v>185</v>
      </c>
      <c r="C192" s="177" t="s">
        <v>169</v>
      </c>
      <c r="D192" s="454" t="s">
        <v>1918</v>
      </c>
      <c r="E192" s="90">
        <f>'[3]VLH - détail'!F200</f>
        <v>121.43572793913158</v>
      </c>
      <c r="F192" s="90"/>
      <c r="G192" s="96">
        <f>'[3]VLH - détail'!I200</f>
        <v>0.11249160421676309</v>
      </c>
      <c r="H192" s="96">
        <f>'[3]VLH - détail'!O200</f>
        <v>121.43572793913158</v>
      </c>
      <c r="I192" s="96">
        <f>'[3]VLH - détail'!P200</f>
        <v>555.43457196550798</v>
      </c>
      <c r="J192" s="51">
        <f>'[3]VLnappe - détail'!R191</f>
        <v>0.1</v>
      </c>
      <c r="K192" s="352">
        <v>3.5000000000000001E-3</v>
      </c>
      <c r="L192" s="97"/>
      <c r="M192" s="330" t="s">
        <v>520</v>
      </c>
      <c r="N192" s="330">
        <f t="shared" si="3"/>
        <v>0.2</v>
      </c>
      <c r="O192" s="98"/>
      <c r="P192" s="94"/>
    </row>
    <row r="193" spans="2:16">
      <c r="B193" s="177">
        <v>186</v>
      </c>
      <c r="C193" s="177" t="s">
        <v>170</v>
      </c>
      <c r="D193" s="454" t="s">
        <v>1926</v>
      </c>
      <c r="E193" s="90">
        <f>'[3]VLH - détail'!F201</f>
        <v>513.7665412809414</v>
      </c>
      <c r="F193" s="90"/>
      <c r="G193" s="96">
        <f>'[3]VLH - détail'!I201</f>
        <v>0.51000280423543132</v>
      </c>
      <c r="H193" s="96">
        <f>'[3]VLH - détail'!O201</f>
        <v>513.7665412809414</v>
      </c>
      <c r="I193" s="96">
        <f>'[3]VLH - détail'!P201</f>
        <v>2349.9154967771497</v>
      </c>
      <c r="J193" s="51">
        <f>'[3]VLnappe - détail'!R192</f>
        <v>0.1</v>
      </c>
      <c r="K193" s="352">
        <v>2.18E-2</v>
      </c>
      <c r="L193" s="97"/>
      <c r="M193" s="330" t="s">
        <v>520</v>
      </c>
      <c r="N193" s="330">
        <f t="shared" si="3"/>
        <v>0.2</v>
      </c>
      <c r="O193" s="98"/>
      <c r="P193" s="94"/>
    </row>
    <row r="194" spans="2:16">
      <c r="B194" s="177">
        <v>187</v>
      </c>
      <c r="C194" s="177" t="s">
        <v>171</v>
      </c>
      <c r="D194" s="454" t="s">
        <v>1927</v>
      </c>
      <c r="E194" s="90">
        <f>'[3]VLH - détail'!F202</f>
        <v>233.53024603679154</v>
      </c>
      <c r="F194" s="90"/>
      <c r="G194" s="96">
        <f>'[3]VLH - détail'!I202</f>
        <v>0.18936232179624066</v>
      </c>
      <c r="H194" s="96">
        <f>'[3]VLH - détail'!O202</f>
        <v>233.53024603679154</v>
      </c>
      <c r="I194" s="96">
        <f>'[3]VLH - détail'!P202</f>
        <v>1068.143407625977</v>
      </c>
      <c r="J194" s="51">
        <f>'[3]VLnappe - détail'!R193</f>
        <v>0.1</v>
      </c>
      <c r="K194" s="352">
        <v>1.78E-2</v>
      </c>
      <c r="L194" s="97"/>
      <c r="M194" s="330" t="s">
        <v>520</v>
      </c>
      <c r="N194" s="330">
        <f t="shared" ref="N194:N240" si="4">J194*2</f>
        <v>0.2</v>
      </c>
      <c r="O194" s="98"/>
      <c r="P194" s="94"/>
    </row>
    <row r="195" spans="2:16">
      <c r="B195" s="177">
        <v>188</v>
      </c>
      <c r="C195" s="177" t="s">
        <v>143</v>
      </c>
      <c r="D195" s="454" t="s">
        <v>1709</v>
      </c>
      <c r="E195" s="90">
        <f>'[3]VLH - détail'!F203</f>
        <v>36.776715318568783</v>
      </c>
      <c r="F195" s="90"/>
      <c r="G195" s="96">
        <f>'[3]VLH - détail'!I203</f>
        <v>8.7354161261959051E-2</v>
      </c>
      <c r="H195" s="96">
        <f>'[3]VLH - détail'!O203</f>
        <v>34.52739271552413</v>
      </c>
      <c r="I195" s="96">
        <f>'[3]VLH - détail'!P203</f>
        <v>67.347223572387477</v>
      </c>
      <c r="J195" s="51">
        <f>'[3]VLnappe - détail'!R194</f>
        <v>0.1</v>
      </c>
      <c r="K195" s="352">
        <v>3.5467</v>
      </c>
      <c r="L195" s="97"/>
      <c r="M195" s="330" t="s">
        <v>520</v>
      </c>
      <c r="N195" s="330">
        <f t="shared" si="4"/>
        <v>0.2</v>
      </c>
      <c r="O195" s="98"/>
      <c r="P195" s="94"/>
    </row>
    <row r="196" spans="2:16" ht="30">
      <c r="B196" s="177">
        <v>189</v>
      </c>
      <c r="C196" s="177" t="s">
        <v>145</v>
      </c>
      <c r="D196" s="518" t="s">
        <v>1706</v>
      </c>
      <c r="E196" s="90">
        <f>'[3]VLH - détail'!F204</f>
        <v>25.115994224284055</v>
      </c>
      <c r="F196" s="90"/>
      <c r="G196" s="96">
        <f>'[3]VLH - détail'!I204</f>
        <v>1.1515066552416842E-2</v>
      </c>
      <c r="H196" s="96">
        <f>'[3]VLH - détail'!O204</f>
        <v>20.392046770972527</v>
      </c>
      <c r="I196" s="96">
        <f>'[3]VLH - détail'!P204</f>
        <v>44.981693345838003</v>
      </c>
      <c r="J196" s="51">
        <f>'[3]VLnappe - détail'!R195</f>
        <v>0.1</v>
      </c>
      <c r="K196" s="352">
        <v>0.89119999999999999</v>
      </c>
      <c r="L196" s="97"/>
      <c r="M196" s="330" t="s">
        <v>520</v>
      </c>
      <c r="N196" s="330">
        <f t="shared" si="4"/>
        <v>0.2</v>
      </c>
      <c r="O196" s="98"/>
      <c r="P196" s="94"/>
    </row>
    <row r="197" spans="2:16" ht="24">
      <c r="B197" s="177">
        <v>190</v>
      </c>
      <c r="C197" s="177" t="s">
        <v>146</v>
      </c>
      <c r="D197" s="454" t="s">
        <v>1707</v>
      </c>
      <c r="E197" s="90">
        <f>'[3]VLH - détail'!F205</f>
        <v>26.183830903829019</v>
      </c>
      <c r="F197" s="90"/>
      <c r="G197" s="96">
        <f>'[3]VLH - détail'!I205</f>
        <v>6.9119219511789301E-2</v>
      </c>
      <c r="H197" s="96">
        <f>'[3]VLH - détail'!O205</f>
        <v>25.801957924037069</v>
      </c>
      <c r="I197" s="96">
        <f>'[3]VLH - détail'!P205</f>
        <v>48.13703651336202</v>
      </c>
      <c r="J197" s="51">
        <f>'[3]VLnappe - détail'!R196</f>
        <v>0.1</v>
      </c>
      <c r="K197" s="352">
        <v>5.3678999999999997</v>
      </c>
      <c r="L197" s="97"/>
      <c r="M197" s="542" t="s">
        <v>521</v>
      </c>
      <c r="N197" s="330">
        <f t="shared" si="4"/>
        <v>0.2</v>
      </c>
      <c r="O197" s="98"/>
      <c r="P197" s="99"/>
    </row>
    <row r="198" spans="2:16" ht="30">
      <c r="B198" s="177">
        <v>191</v>
      </c>
      <c r="C198" s="177" t="s">
        <v>147</v>
      </c>
      <c r="D198" s="518" t="s">
        <v>1743</v>
      </c>
      <c r="E198" s="90">
        <f>'[3]VLH - détail'!F206</f>
        <v>3.0857060888023802</v>
      </c>
      <c r="F198" s="90"/>
      <c r="G198" s="96">
        <f>'[3]VLH - détail'!I206</f>
        <v>1.030987658621395E-2</v>
      </c>
      <c r="H198" s="96">
        <f>'[3]VLH - détail'!O206</f>
        <v>2.1483899002081772</v>
      </c>
      <c r="I198" s="96">
        <f>'[3]VLH - détail'!P206</f>
        <v>3.965295316847369</v>
      </c>
      <c r="J198" s="51">
        <f>'[3]VLnappe - détail'!R197</f>
        <v>0.1</v>
      </c>
      <c r="K198" s="352">
        <v>0.1215</v>
      </c>
      <c r="L198" s="339"/>
      <c r="M198" s="330">
        <v>43.613694187662894</v>
      </c>
      <c r="N198" s="330">
        <f t="shared" si="4"/>
        <v>0.2</v>
      </c>
      <c r="O198" s="98"/>
      <c r="P198" s="94"/>
    </row>
    <row r="199" spans="2:16">
      <c r="B199" s="177">
        <v>192</v>
      </c>
      <c r="C199" s="177" t="s">
        <v>182</v>
      </c>
      <c r="D199" s="454" t="s">
        <v>181</v>
      </c>
      <c r="E199" s="90">
        <f>'[3]VLH - détail'!F207</f>
        <v>2335.302460367915</v>
      </c>
      <c r="F199" s="90"/>
      <c r="G199" s="96">
        <f>'[3]VLH - détail'!I207</f>
        <v>0.79098496366060445</v>
      </c>
      <c r="H199" s="96">
        <f>'[3]VLH - détail'!O207</f>
        <v>2335.302460367915</v>
      </c>
      <c r="I199" s="96">
        <f>'[3]VLH - détail'!P207</f>
        <v>10681.434076259771</v>
      </c>
      <c r="J199" s="51">
        <f>'[3]VLnappe - détail'!R198</f>
        <v>0.1</v>
      </c>
      <c r="K199" s="352">
        <v>1.1000000000000001E-3</v>
      </c>
      <c r="L199" s="339"/>
      <c r="M199" s="330" t="s">
        <v>520</v>
      </c>
      <c r="N199" s="330">
        <f t="shared" si="4"/>
        <v>0.2</v>
      </c>
      <c r="O199" s="98"/>
      <c r="P199" s="94"/>
    </row>
    <row r="200" spans="2:16">
      <c r="B200" s="177">
        <v>193</v>
      </c>
      <c r="C200" s="177" t="s">
        <v>176</v>
      </c>
      <c r="D200" s="454" t="s">
        <v>1694</v>
      </c>
      <c r="E200" s="90">
        <f>'[3]VLH - détail'!F208</f>
        <v>8500.5009557392113</v>
      </c>
      <c r="F200" s="90"/>
      <c r="G200" s="96">
        <f>'[3]VLH - détail'!I208</f>
        <v>2.8905756563744105</v>
      </c>
      <c r="H200" s="96">
        <f>'[3]VLH - détail'!O208</f>
        <v>8500.5009557392113</v>
      </c>
      <c r="I200" s="96">
        <f>'[3]VLH - détail'!P208</f>
        <v>38880.420037585565</v>
      </c>
      <c r="J200" s="51">
        <f>'[3]VLnappe - détail'!R199</f>
        <v>0.1</v>
      </c>
      <c r="K200" s="352">
        <v>2.7000000000000001E-3</v>
      </c>
      <c r="L200" s="97"/>
      <c r="M200" s="330" t="s">
        <v>520</v>
      </c>
      <c r="N200" s="330">
        <f t="shared" si="4"/>
        <v>0.2</v>
      </c>
      <c r="O200" s="98"/>
      <c r="P200" s="94"/>
    </row>
    <row r="201" spans="2:16">
      <c r="B201" s="177">
        <v>194</v>
      </c>
      <c r="C201" s="177" t="s">
        <v>183</v>
      </c>
      <c r="D201" s="454" t="s">
        <v>1849</v>
      </c>
      <c r="E201" s="90">
        <f>'[3]VLH - détail'!F209</f>
        <v>116.76512301839577</v>
      </c>
      <c r="F201" s="90"/>
      <c r="G201" s="96">
        <f>'[3]VLH - détail'!I209</f>
        <v>3.9860335215461E-2</v>
      </c>
      <c r="H201" s="96">
        <f>'[3]VLH - détail'!O209</f>
        <v>116.76512301839577</v>
      </c>
      <c r="I201" s="96">
        <f>'[3]VLH - détail'!P209</f>
        <v>534.07170381298852</v>
      </c>
      <c r="J201" s="51">
        <f>'[3]VLnappe - détail'!R200</f>
        <v>0.1</v>
      </c>
      <c r="K201" s="352">
        <v>3.7000000000000002E-3</v>
      </c>
      <c r="L201" s="97"/>
      <c r="M201" s="330" t="s">
        <v>520</v>
      </c>
      <c r="N201" s="330">
        <f t="shared" si="4"/>
        <v>0.2</v>
      </c>
      <c r="O201" s="98"/>
      <c r="P201" s="94"/>
    </row>
    <row r="202" spans="2:16" ht="30">
      <c r="B202" s="177">
        <v>195</v>
      </c>
      <c r="C202" s="177" t="s">
        <v>184</v>
      </c>
      <c r="D202" s="454" t="s">
        <v>1851</v>
      </c>
      <c r="E202" s="90">
        <f>'[3]VLH - détail'!F210</f>
        <v>233.53024603679154</v>
      </c>
      <c r="F202" s="90"/>
      <c r="G202" s="96">
        <f>'[3]VLH - détail'!I210</f>
        <v>7.9134186443665572E-2</v>
      </c>
      <c r="H202" s="96">
        <f>'[3]VLH - détail'!O210</f>
        <v>233.53024603679154</v>
      </c>
      <c r="I202" s="96">
        <f>'[3]VLH - détail'!P210</f>
        <v>1068.143407625977</v>
      </c>
      <c r="J202" s="51">
        <f>'[3]VLnappe - détail'!R201</f>
        <v>0.1</v>
      </c>
      <c r="K202" s="352">
        <v>1.1999999999999999E-3</v>
      </c>
      <c r="L202" s="97"/>
      <c r="M202" s="330" t="s">
        <v>520</v>
      </c>
      <c r="N202" s="330">
        <f t="shared" si="4"/>
        <v>0.2</v>
      </c>
      <c r="O202" s="98"/>
      <c r="P202" s="94"/>
    </row>
    <row r="203" spans="2:16">
      <c r="B203" s="177">
        <v>196</v>
      </c>
      <c r="C203" s="177" t="s">
        <v>149</v>
      </c>
      <c r="D203" s="454" t="s">
        <v>1787</v>
      </c>
      <c r="E203" s="90">
        <f>'[3]VLH - détail'!F211</f>
        <v>45.956772893197964</v>
      </c>
      <c r="F203" s="90"/>
      <c r="G203" s="96">
        <f>'[3]VLH - détail'!I211</f>
        <v>1.5904290805204432E-2</v>
      </c>
      <c r="H203" s="96">
        <f>'[3]VLH - détail'!O211</f>
        <v>43.387082684591199</v>
      </c>
      <c r="I203" s="96">
        <f>'[3]VLH - détail'!P211</f>
        <v>167.01976114119344</v>
      </c>
      <c r="J203" s="51">
        <f>'[3]VLnappe - détail'!R202</f>
        <v>0.1</v>
      </c>
      <c r="K203" s="352">
        <v>1.12E-2</v>
      </c>
      <c r="L203" s="97"/>
      <c r="M203" s="330">
        <v>22562.22081307352</v>
      </c>
      <c r="N203" s="330">
        <f t="shared" si="4"/>
        <v>0.2</v>
      </c>
      <c r="O203" s="98"/>
      <c r="P203" s="94"/>
    </row>
    <row r="204" spans="2:16">
      <c r="B204" s="177">
        <v>197</v>
      </c>
      <c r="C204" s="394" t="s">
        <v>424</v>
      </c>
      <c r="D204" s="454" t="s">
        <v>1835</v>
      </c>
      <c r="E204" s="429">
        <v>43630</v>
      </c>
      <c r="F204" s="429">
        <v>0.3357</v>
      </c>
      <c r="G204" s="429">
        <v>0.33579999999999999</v>
      </c>
      <c r="H204" s="429">
        <v>3.8010000000000002</v>
      </c>
      <c r="I204" s="429">
        <v>3.8969999999999998</v>
      </c>
      <c r="J204" s="51">
        <f>'[3]VLnappe - détail'!R203</f>
        <v>180</v>
      </c>
      <c r="K204" s="352" t="s">
        <v>1960</v>
      </c>
      <c r="L204" s="340"/>
      <c r="M204" s="330">
        <v>180</v>
      </c>
      <c r="N204" s="330">
        <f t="shared" si="4"/>
        <v>360</v>
      </c>
      <c r="O204" s="98"/>
      <c r="P204" s="94"/>
    </row>
    <row r="205" spans="2:16">
      <c r="B205" s="177">
        <v>198</v>
      </c>
      <c r="C205" s="177" t="s">
        <v>194</v>
      </c>
      <c r="D205" s="454" t="s">
        <v>1654</v>
      </c>
      <c r="E205" s="90">
        <f>'[3]VLH - détail'!F213</f>
        <v>7.1639099510883026</v>
      </c>
      <c r="F205" s="90"/>
      <c r="G205" s="96">
        <f>'[3]VLH - détail'!I213</f>
        <v>6.3818901555875085E-3</v>
      </c>
      <c r="H205" s="96">
        <f>'[3]VLH - détail'!O213</f>
        <v>0.32174582712797967</v>
      </c>
      <c r="I205" s="96">
        <f>'[3]VLH - détail'!P213</f>
        <v>0.32174582712797967</v>
      </c>
      <c r="J205" s="51">
        <f>'[3]VLnappe - détail'!R204</f>
        <v>0.24</v>
      </c>
      <c r="K205" s="351">
        <v>3.5000000000000001E-3</v>
      </c>
      <c r="L205" s="341"/>
      <c r="M205" s="330">
        <v>257.07842485297181</v>
      </c>
      <c r="N205" s="330">
        <f t="shared" si="4"/>
        <v>0.48</v>
      </c>
      <c r="O205" s="98"/>
      <c r="P205" s="94"/>
    </row>
    <row r="206" spans="2:16">
      <c r="B206" s="177">
        <v>199</v>
      </c>
      <c r="C206" s="177" t="s">
        <v>195</v>
      </c>
      <c r="D206" s="454" t="s">
        <v>1660</v>
      </c>
      <c r="E206" s="90">
        <f>'[3]VLH - détail'!F214</f>
        <v>934.12098414716615</v>
      </c>
      <c r="F206" s="90"/>
      <c r="G206" s="96">
        <f>'[3]VLH - détail'!I214</f>
        <v>0.43157284636732673</v>
      </c>
      <c r="H206" s="96">
        <f>'[3]VLH - détail'!O214</f>
        <v>934.12098414716615</v>
      </c>
      <c r="I206" s="96">
        <f>'[3]VLH - détail'!P214</f>
        <v>4272.5736305039081</v>
      </c>
      <c r="J206" s="51">
        <f>'[3]VLnappe - détail'!R205</f>
        <v>4.9000000000000002E-2</v>
      </c>
      <c r="K206" s="351">
        <v>8.7000000000000001E-4</v>
      </c>
      <c r="L206" s="341"/>
      <c r="M206" s="330" t="s">
        <v>520</v>
      </c>
      <c r="N206" s="330">
        <f t="shared" si="4"/>
        <v>9.8000000000000004E-2</v>
      </c>
      <c r="O206" s="98"/>
      <c r="P206" s="94"/>
    </row>
    <row r="207" spans="2:16">
      <c r="B207" s="177">
        <v>200</v>
      </c>
      <c r="C207" s="177" t="s">
        <v>148</v>
      </c>
      <c r="D207" s="454" t="s">
        <v>1811</v>
      </c>
      <c r="E207" s="90">
        <f>'[3]VLH - détail'!F215</f>
        <v>9.2117861140482713</v>
      </c>
      <c r="F207" s="90"/>
      <c r="G207" s="96">
        <f>'[3]VLH - détail'!I215</f>
        <v>6.9649118417572644E-3</v>
      </c>
      <c r="H207" s="96">
        <f>'[3]VLH - détail'!O215</f>
        <v>8.8052002061220556</v>
      </c>
      <c r="I207" s="96">
        <f>'[3]VLH - détail'!P215</f>
        <v>17.948293812673739</v>
      </c>
      <c r="J207" s="51">
        <f>'[3]VLnappe - détail'!R206</f>
        <v>0.1</v>
      </c>
      <c r="K207" s="351">
        <v>3.0700000000000002E-2</v>
      </c>
      <c r="L207" s="342"/>
      <c r="M207" s="330">
        <v>454.01445251466583</v>
      </c>
      <c r="N207" s="330">
        <f t="shared" si="4"/>
        <v>0.2</v>
      </c>
      <c r="O207" s="98"/>
      <c r="P207" s="94"/>
    </row>
    <row r="208" spans="2:16">
      <c r="B208" s="177">
        <v>201</v>
      </c>
      <c r="C208" s="177" t="s">
        <v>66</v>
      </c>
      <c r="D208" s="454" t="s">
        <v>1756</v>
      </c>
      <c r="E208" s="90">
        <f>'[3]VLH - détail'!F216</f>
        <v>38.545680415379913</v>
      </c>
      <c r="F208" s="90"/>
      <c r="G208" s="96">
        <f>'[3]VLH - détail'!I216</f>
        <v>0.11486295712545876</v>
      </c>
      <c r="H208" s="96">
        <f>'[3]VLH - détail'!O216</f>
        <v>0.66752818193731145</v>
      </c>
      <c r="I208" s="96">
        <f>'[3]VLH - détail'!P216</f>
        <v>0.66752818193731145</v>
      </c>
      <c r="J208" s="51">
        <f>'[3]VLnappe - détail'!R207</f>
        <v>7.5</v>
      </c>
      <c r="K208" s="351">
        <v>0.2858</v>
      </c>
      <c r="L208" s="343"/>
      <c r="M208" s="330">
        <v>93.940525223226828</v>
      </c>
      <c r="N208" s="330">
        <f t="shared" si="4"/>
        <v>15</v>
      </c>
      <c r="O208" s="98"/>
      <c r="P208" s="94"/>
    </row>
    <row r="209" spans="2:16">
      <c r="B209" s="177">
        <v>202</v>
      </c>
      <c r="C209" s="177" t="s">
        <v>425</v>
      </c>
      <c r="D209" s="111" t="s">
        <v>1873</v>
      </c>
      <c r="E209" s="577" t="s">
        <v>515</v>
      </c>
      <c r="F209" s="578"/>
      <c r="G209" s="578"/>
      <c r="H209" s="578"/>
      <c r="I209" s="579"/>
      <c r="J209" s="51">
        <f>'[3]VLnappe - détail'!R208</f>
        <v>60000000</v>
      </c>
      <c r="K209" s="351">
        <v>399825.83</v>
      </c>
      <c r="L209" s="344"/>
      <c r="M209" s="330" t="s">
        <v>516</v>
      </c>
      <c r="N209" s="330">
        <f t="shared" si="4"/>
        <v>120000000</v>
      </c>
      <c r="O209" s="98"/>
      <c r="P209" s="94"/>
    </row>
    <row r="210" spans="2:16">
      <c r="B210" s="177">
        <v>203</v>
      </c>
      <c r="C210" s="177" t="s">
        <v>60</v>
      </c>
      <c r="D210" s="454" t="s">
        <v>1716</v>
      </c>
      <c r="E210" s="90">
        <f>'[3]VLH - détail'!F218</f>
        <v>210177.22143311237</v>
      </c>
      <c r="F210" s="90"/>
      <c r="G210" s="96">
        <f>'[3]VLH - détail'!I218</f>
        <v>60.372940850855791</v>
      </c>
      <c r="H210" s="96">
        <f>'[3]VLH - détail'!O218</f>
        <v>210177.22143311237</v>
      </c>
      <c r="I210" s="96">
        <f>'[3]VLH - détail'!P218</f>
        <v>961329.06686337932</v>
      </c>
      <c r="J210" s="51">
        <f>'[3]VLnappe - détail'!R209</f>
        <v>140</v>
      </c>
      <c r="K210" s="351">
        <v>0.71099999999999997</v>
      </c>
      <c r="L210" s="343"/>
      <c r="M210" s="330" t="s">
        <v>520</v>
      </c>
      <c r="N210" s="330">
        <f t="shared" si="4"/>
        <v>280</v>
      </c>
      <c r="O210" s="98"/>
      <c r="P210" s="94"/>
    </row>
    <row r="211" spans="2:16">
      <c r="B211" s="177">
        <v>204</v>
      </c>
      <c r="C211" s="177" t="s">
        <v>76</v>
      </c>
      <c r="D211" s="454" t="s">
        <v>1792</v>
      </c>
      <c r="E211" s="90">
        <f>'[3]VLH - détail'!F219</f>
        <v>46706.049207358308</v>
      </c>
      <c r="F211" s="90"/>
      <c r="G211" s="96">
        <f>'[3]VLH - détail'!I219</f>
        <v>12.919465629115795</v>
      </c>
      <c r="H211" s="96">
        <f>'[3]VLH - détail'!O219</f>
        <v>46706.049207358308</v>
      </c>
      <c r="I211" s="96">
        <f>'[3]VLH - détail'!P219</f>
        <v>213628.6815251954</v>
      </c>
      <c r="J211" s="51">
        <f>'[3]VLnappe - détail'!R210</f>
        <v>1200.0000000000002</v>
      </c>
      <c r="K211" s="351">
        <v>6.3804999999999996</v>
      </c>
      <c r="L211" s="345"/>
      <c r="M211" s="330" t="s">
        <v>520</v>
      </c>
      <c r="N211" s="330">
        <f t="shared" si="4"/>
        <v>2400.0000000000005</v>
      </c>
      <c r="O211" s="98"/>
      <c r="P211" s="94"/>
    </row>
    <row r="212" spans="2:16">
      <c r="B212" s="177">
        <v>205</v>
      </c>
      <c r="C212" s="177" t="s">
        <v>345</v>
      </c>
      <c r="D212" s="454" t="s">
        <v>1816</v>
      </c>
      <c r="E212" s="90">
        <f>'[3]VLH - détail'!F220</f>
        <v>29.444183487625008</v>
      </c>
      <c r="F212" s="90"/>
      <c r="G212" s="96">
        <f>'[3]VLH - détail'!I220</f>
        <v>6.4244772163396177E-2</v>
      </c>
      <c r="H212" s="96">
        <f>'[3]VLH - détail'!O220</f>
        <v>6.3174256485268288</v>
      </c>
      <c r="I212" s="96">
        <f>'[3]VLH - détail'!P220</f>
        <v>6.3174256485268288</v>
      </c>
      <c r="J212" s="51">
        <f>'[3]VLnappe - détail'!R211</f>
        <v>0.1</v>
      </c>
      <c r="K212" s="351">
        <v>3.0000000000000001E-3</v>
      </c>
      <c r="L212" s="343"/>
      <c r="M212" s="330">
        <v>741.19178843379632</v>
      </c>
      <c r="N212" s="330">
        <f t="shared" si="4"/>
        <v>0.2</v>
      </c>
      <c r="O212" s="98"/>
      <c r="P212" s="94"/>
    </row>
    <row r="213" spans="2:16" ht="45">
      <c r="B213" s="177">
        <v>206</v>
      </c>
      <c r="C213" s="177" t="s">
        <v>426</v>
      </c>
      <c r="D213" s="111" t="s">
        <v>1925</v>
      </c>
      <c r="E213" s="577" t="s">
        <v>515</v>
      </c>
      <c r="F213" s="578"/>
      <c r="G213" s="578"/>
      <c r="H213" s="578"/>
      <c r="I213" s="579"/>
      <c r="J213" s="51">
        <f>'[3]VLnappe - détail'!R212</f>
        <v>50</v>
      </c>
      <c r="K213" s="352" t="s">
        <v>515</v>
      </c>
      <c r="L213" s="319" t="s">
        <v>1569</v>
      </c>
      <c r="M213" s="330" t="s">
        <v>516</v>
      </c>
      <c r="N213" s="330">
        <f t="shared" si="4"/>
        <v>100</v>
      </c>
      <c r="O213" s="98"/>
      <c r="P213" s="94"/>
    </row>
    <row r="214" spans="2:16">
      <c r="B214" s="177">
        <v>207</v>
      </c>
      <c r="C214" s="177" t="s">
        <v>427</v>
      </c>
      <c r="D214" s="111" t="s">
        <v>1623</v>
      </c>
      <c r="E214" s="90">
        <f>'[3]VLH - détail'!F222</f>
        <v>65.486023897816395</v>
      </c>
      <c r="F214" s="90"/>
      <c r="G214" s="96">
        <f>'[3]VLH - détail'!I222</f>
        <v>0.10884036196303516</v>
      </c>
      <c r="H214" s="96">
        <f>'[3]VLH - détail'!O222</f>
        <v>15.935933663008324</v>
      </c>
      <c r="I214" s="96">
        <f>'[3]VLH - détail'!P222</f>
        <v>71.475550217756549</v>
      </c>
      <c r="J214" s="51">
        <f>'[3]VLnappe - détail'!R213</f>
        <v>9</v>
      </c>
      <c r="K214" s="352">
        <v>15.54</v>
      </c>
      <c r="L214" s="340"/>
      <c r="M214" s="330" t="s">
        <v>520</v>
      </c>
      <c r="N214" s="330">
        <f t="shared" si="4"/>
        <v>18</v>
      </c>
      <c r="O214" s="98"/>
      <c r="P214" s="94"/>
    </row>
    <row r="215" spans="2:16" ht="24">
      <c r="B215" s="177">
        <v>208</v>
      </c>
      <c r="C215" s="177" t="s">
        <v>428</v>
      </c>
      <c r="D215" s="111" t="s">
        <v>1831</v>
      </c>
      <c r="E215" s="90">
        <f>'[3]VLH - détail'!F223</f>
        <v>1000000</v>
      </c>
      <c r="F215" s="90"/>
      <c r="G215" s="96">
        <f>'[3]VLH - détail'!I223</f>
        <v>1000000</v>
      </c>
      <c r="H215" s="96">
        <f>'[3]VLH - détail'!O223</f>
        <v>1000000</v>
      </c>
      <c r="I215" s="96">
        <f>'[3]VLH - détail'!P223</f>
        <v>1000000</v>
      </c>
      <c r="J215" s="51">
        <f>'[3]VLnappe - détail'!R214</f>
        <v>49800</v>
      </c>
      <c r="K215" s="352">
        <v>331.85</v>
      </c>
      <c r="L215" s="346"/>
      <c r="M215" s="542" t="s">
        <v>521</v>
      </c>
      <c r="N215" s="330">
        <f t="shared" si="4"/>
        <v>99600</v>
      </c>
      <c r="O215" s="98"/>
      <c r="P215" s="99"/>
    </row>
    <row r="216" spans="2:16" ht="24">
      <c r="B216" s="177">
        <v>209</v>
      </c>
      <c r="C216" s="177" t="s">
        <v>429</v>
      </c>
      <c r="D216" s="111" t="s">
        <v>1785</v>
      </c>
      <c r="E216" s="90">
        <f>'[3]VLH - détail'!F224</f>
        <v>1000000</v>
      </c>
      <c r="F216" s="90"/>
      <c r="G216" s="96">
        <f>'[3]VLH - détail'!I224</f>
        <v>390</v>
      </c>
      <c r="H216" s="96">
        <f>'[3]VLH - détail'!O224</f>
        <v>1000000</v>
      </c>
      <c r="I216" s="96">
        <f>'[3]VLH - détail'!P224</f>
        <v>1000000</v>
      </c>
      <c r="J216" s="51">
        <f>'[3]VLnappe - détail'!R215</f>
        <v>49800</v>
      </c>
      <c r="K216" s="352">
        <v>331.85</v>
      </c>
      <c r="L216" s="346"/>
      <c r="M216" s="542" t="s">
        <v>521</v>
      </c>
      <c r="N216" s="330">
        <f t="shared" si="4"/>
        <v>99600</v>
      </c>
      <c r="O216" s="98"/>
      <c r="P216" s="99"/>
    </row>
    <row r="217" spans="2:16" ht="24">
      <c r="B217" s="177">
        <v>210</v>
      </c>
      <c r="C217" s="177" t="s">
        <v>430</v>
      </c>
      <c r="D217" s="111" t="s">
        <v>1906</v>
      </c>
      <c r="E217" s="90">
        <f>'[3]VLH - détail'!F225</f>
        <v>1000000</v>
      </c>
      <c r="F217" s="90"/>
      <c r="G217" s="96">
        <f>'[3]VLH - détail'!I225</f>
        <v>694</v>
      </c>
      <c r="H217" s="96">
        <f>'[3]VLH - détail'!O225</f>
        <v>1000000</v>
      </c>
      <c r="I217" s="96">
        <f>'[3]VLH - détail'!P225</f>
        <v>1000000</v>
      </c>
      <c r="J217" s="51">
        <f>'[3]VLnappe - détail'!R216</f>
        <v>49800</v>
      </c>
      <c r="K217" s="352">
        <v>240.96</v>
      </c>
      <c r="L217" s="346"/>
      <c r="M217" s="542" t="s">
        <v>521</v>
      </c>
      <c r="N217" s="330">
        <f t="shared" si="4"/>
        <v>99600</v>
      </c>
      <c r="O217" s="98"/>
      <c r="P217" s="99"/>
    </row>
    <row r="218" spans="2:16" ht="24">
      <c r="B218" s="177">
        <v>211</v>
      </c>
      <c r="C218" s="177" t="s">
        <v>431</v>
      </c>
      <c r="D218" s="111" t="s">
        <v>1631</v>
      </c>
      <c r="E218" s="90">
        <f>'[3]VLH - détail'!F226</f>
        <v>77018.649469428274</v>
      </c>
      <c r="F218" s="90"/>
      <c r="G218" s="96">
        <f>'[3]VLH - détail'!I226</f>
        <v>6.9405917310745977</v>
      </c>
      <c r="H218" s="96">
        <f>'[3]VLH - détail'!O226</f>
        <v>76997.08905023626</v>
      </c>
      <c r="I218" s="96">
        <f>'[3]VLH - détail'!P226</f>
        <v>350187.07193839754</v>
      </c>
      <c r="J218" s="51">
        <f>'[3]VLnappe - détail'!R217</f>
        <v>1980</v>
      </c>
      <c r="K218" s="351">
        <v>15.61</v>
      </c>
      <c r="L218" s="328"/>
      <c r="M218" s="542" t="s">
        <v>521</v>
      </c>
      <c r="N218" s="330">
        <f t="shared" si="4"/>
        <v>3960</v>
      </c>
      <c r="O218" s="98"/>
      <c r="P218" s="99"/>
    </row>
    <row r="219" spans="2:16" ht="45">
      <c r="B219" s="177">
        <v>212</v>
      </c>
      <c r="C219" s="177" t="s">
        <v>432</v>
      </c>
      <c r="D219" s="111" t="s">
        <v>1935</v>
      </c>
      <c r="E219" s="577" t="s">
        <v>515</v>
      </c>
      <c r="F219" s="578"/>
      <c r="G219" s="578"/>
      <c r="H219" s="578"/>
      <c r="I219" s="579"/>
      <c r="J219" s="51">
        <f>'[3]VLnappe - détail'!R218</f>
        <v>190</v>
      </c>
      <c r="K219" s="351" t="s">
        <v>515</v>
      </c>
      <c r="L219" s="319" t="s">
        <v>1569</v>
      </c>
      <c r="M219" s="330" t="s">
        <v>516</v>
      </c>
      <c r="N219" s="330">
        <f t="shared" si="4"/>
        <v>380</v>
      </c>
      <c r="O219" s="98"/>
      <c r="P219" s="94"/>
    </row>
    <row r="220" spans="2:16" ht="45" customHeight="1">
      <c r="B220" s="177">
        <v>213</v>
      </c>
      <c r="C220" s="177" t="s">
        <v>433</v>
      </c>
      <c r="D220" s="111" t="s">
        <v>1801</v>
      </c>
      <c r="E220" s="577" t="s">
        <v>515</v>
      </c>
      <c r="F220" s="578"/>
      <c r="G220" s="578"/>
      <c r="H220" s="578"/>
      <c r="I220" s="579"/>
      <c r="J220" s="51" t="s">
        <v>515</v>
      </c>
      <c r="K220" s="351" t="s">
        <v>515</v>
      </c>
      <c r="L220" s="319" t="s">
        <v>1524</v>
      </c>
      <c r="M220" s="330" t="s">
        <v>516</v>
      </c>
      <c r="N220" s="330" t="s">
        <v>515</v>
      </c>
      <c r="O220" s="98" t="s">
        <v>1570</v>
      </c>
      <c r="P220" s="94"/>
    </row>
    <row r="221" spans="2:16">
      <c r="B221" s="177">
        <v>214</v>
      </c>
      <c r="C221" s="177" t="s">
        <v>434</v>
      </c>
      <c r="D221" s="111" t="s">
        <v>1712</v>
      </c>
      <c r="E221" s="90">
        <f>'[3]VLH - détail'!F229</f>
        <v>7005.9073811037451</v>
      </c>
      <c r="F221" s="90"/>
      <c r="G221" s="96">
        <f>'[3]VLH - détail'!I229</f>
        <v>36.142788967575534</v>
      </c>
      <c r="H221" s="96">
        <f>'[3]VLH - détail'!O229</f>
        <v>7005.9073811037451</v>
      </c>
      <c r="I221" s="96">
        <f>'[3]VLH - détail'!P229</f>
        <v>32044.30222877931</v>
      </c>
      <c r="J221" s="51">
        <f>'[3]VLnappe - détail'!R220</f>
        <v>180</v>
      </c>
      <c r="K221" s="351">
        <v>12271.81</v>
      </c>
      <c r="L221" s="346"/>
      <c r="M221" s="330" t="s">
        <v>550</v>
      </c>
      <c r="N221" s="330">
        <f t="shared" si="4"/>
        <v>360</v>
      </c>
      <c r="O221" s="98"/>
      <c r="P221" s="94"/>
    </row>
    <row r="222" spans="2:16" ht="30">
      <c r="B222" s="177">
        <v>215</v>
      </c>
      <c r="C222" s="177" t="s">
        <v>435</v>
      </c>
      <c r="D222" s="454" t="s">
        <v>1717</v>
      </c>
      <c r="E222" s="90">
        <f>'[3]VLH - détail'!F230</f>
        <v>840.7088857324494</v>
      </c>
      <c r="F222" s="90"/>
      <c r="G222" s="96">
        <f>'[3]VLH - détail'!I230</f>
        <v>1.4861484011196651</v>
      </c>
      <c r="H222" s="96">
        <f>'[3]VLH - détail'!O230</f>
        <v>840.7088857324494</v>
      </c>
      <c r="I222" s="96">
        <f>'[3]VLH - détail'!P230</f>
        <v>3845.316267453517</v>
      </c>
      <c r="J222" s="51">
        <f>'[3]VLnappe - détail'!R221</f>
        <v>0.1</v>
      </c>
      <c r="K222" s="356">
        <v>0.1179</v>
      </c>
      <c r="L222" s="347"/>
      <c r="M222" s="330" t="s">
        <v>520</v>
      </c>
      <c r="N222" s="330">
        <f t="shared" si="4"/>
        <v>0.2</v>
      </c>
      <c r="O222" s="98"/>
      <c r="P222" s="94"/>
    </row>
    <row r="223" spans="2:16">
      <c r="B223" s="177">
        <v>216</v>
      </c>
      <c r="C223" s="177" t="s">
        <v>436</v>
      </c>
      <c r="D223" s="454" t="s">
        <v>1809</v>
      </c>
      <c r="E223" s="90">
        <f>'[3]VLH - détail'!F231</f>
        <v>467.06049207358308</v>
      </c>
      <c r="F223" s="90"/>
      <c r="G223" s="96">
        <f>'[3]VLH - détail'!I231</f>
        <v>302.82846298938591</v>
      </c>
      <c r="H223" s="96">
        <f>'[3]VLH - détail'!O231</f>
        <v>467.06049207358308</v>
      </c>
      <c r="I223" s="96">
        <f>'[3]VLH - détail'!P231</f>
        <v>2136.2868152519541</v>
      </c>
      <c r="J223" s="51">
        <f>'[3]VLnappe - détail'!R222</f>
        <v>0.1</v>
      </c>
      <c r="K223" s="356">
        <v>5.0000000000000001E-4</v>
      </c>
      <c r="L223" s="347"/>
      <c r="M223" s="330" t="s">
        <v>520</v>
      </c>
      <c r="N223" s="330">
        <f t="shared" si="4"/>
        <v>0.2</v>
      </c>
      <c r="O223" s="98"/>
      <c r="P223" s="94"/>
    </row>
    <row r="224" spans="2:16" ht="30">
      <c r="B224" s="177">
        <v>217</v>
      </c>
      <c r="C224" s="177" t="s">
        <v>437</v>
      </c>
      <c r="D224" s="454" t="s">
        <v>1810</v>
      </c>
      <c r="E224" s="90">
        <f>'[3]VLH - détail'!F232</f>
        <v>467.06049207358308</v>
      </c>
      <c r="F224" s="90"/>
      <c r="G224" s="96">
        <f>'[3]VLH - détail'!I232</f>
        <v>302.82846298938591</v>
      </c>
      <c r="H224" s="96">
        <f>'[3]VLH - détail'!O232</f>
        <v>467.06049207358308</v>
      </c>
      <c r="I224" s="96">
        <f>'[3]VLH - détail'!P232</f>
        <v>2136.2868152519541</v>
      </c>
      <c r="J224" s="51">
        <f>'[3]VLnappe - détail'!R223</f>
        <v>0.1</v>
      </c>
      <c r="K224" s="356">
        <v>5.0000000000000001E-4</v>
      </c>
      <c r="L224" s="347"/>
      <c r="M224" s="330" t="s">
        <v>520</v>
      </c>
      <c r="N224" s="330">
        <f t="shared" si="4"/>
        <v>0.2</v>
      </c>
      <c r="O224" s="98"/>
      <c r="P224" s="94"/>
    </row>
    <row r="225" spans="1:16">
      <c r="B225" s="177">
        <v>218</v>
      </c>
      <c r="C225" s="177" t="s">
        <v>438</v>
      </c>
      <c r="D225" s="454" t="s">
        <v>1883</v>
      </c>
      <c r="E225" s="90">
        <f>'[3]VLH - détail'!F233</f>
        <v>934.12098414716615</v>
      </c>
      <c r="F225" s="90"/>
      <c r="G225" s="96">
        <f>'[3]VLH - détail'!I233</f>
        <v>605.65692597877182</v>
      </c>
      <c r="H225" s="96">
        <f>'[3]VLH - détail'!O233</f>
        <v>934.12098414716615</v>
      </c>
      <c r="I225" s="96">
        <f>'[3]VLH - détail'!P233</f>
        <v>4272.5736305039081</v>
      </c>
      <c r="J225" s="51">
        <f>'[3]VLnappe - détail'!R224</f>
        <v>0.1</v>
      </c>
      <c r="K225" s="356">
        <v>4.6000000000000001E-4</v>
      </c>
      <c r="L225" s="347"/>
      <c r="M225" s="330" t="s">
        <v>520</v>
      </c>
      <c r="N225" s="330">
        <f t="shared" si="4"/>
        <v>0.2</v>
      </c>
      <c r="O225" s="98"/>
      <c r="P225" s="94"/>
    </row>
    <row r="226" spans="1:16" ht="15.75" customHeight="1">
      <c r="B226" s="177">
        <v>219</v>
      </c>
      <c r="C226" s="177" t="s">
        <v>439</v>
      </c>
      <c r="D226" s="454" t="s">
        <v>1886</v>
      </c>
      <c r="E226" s="90">
        <f>'[3]VLH - détail'!F234</f>
        <v>934.12098414716615</v>
      </c>
      <c r="F226" s="90"/>
      <c r="G226" s="96">
        <f>'[3]VLH - détail'!I234</f>
        <v>605.65692597877182</v>
      </c>
      <c r="H226" s="96">
        <f>'[3]VLH - détail'!O234</f>
        <v>934.12098414716615</v>
      </c>
      <c r="I226" s="96">
        <f>'[3]VLH - détail'!P234</f>
        <v>4272.5736305039081</v>
      </c>
      <c r="J226" s="51">
        <f>'[3]VLnappe - détail'!R225</f>
        <v>0.1</v>
      </c>
      <c r="K226" s="356">
        <v>4.6000000000000001E-4</v>
      </c>
      <c r="L226" s="347"/>
      <c r="M226" s="330" t="s">
        <v>520</v>
      </c>
      <c r="N226" s="330">
        <f t="shared" si="4"/>
        <v>0.2</v>
      </c>
      <c r="O226" s="98"/>
      <c r="P226" s="94"/>
    </row>
    <row r="227" spans="1:16">
      <c r="B227" s="177">
        <v>220</v>
      </c>
      <c r="C227" s="177" t="s">
        <v>440</v>
      </c>
      <c r="D227" s="454" t="s">
        <v>1832</v>
      </c>
      <c r="E227" s="90">
        <f>'[3]VLH - détail'!F235</f>
        <v>23353.024603679154</v>
      </c>
      <c r="F227" s="90"/>
      <c r="G227" s="96">
        <f>'[3]VLH - détail'!I235</f>
        <v>15141.423149469296</v>
      </c>
      <c r="H227" s="96">
        <f>'[3]VLH - détail'!O235</f>
        <v>23353.024603679154</v>
      </c>
      <c r="I227" s="96">
        <f>'[3]VLH - détail'!P235</f>
        <v>106814.3407625977</v>
      </c>
      <c r="J227" s="51">
        <f>'[3]VLnappe - détail'!R226</f>
        <v>0.1</v>
      </c>
      <c r="K227" s="356">
        <v>7.4999999999999997E-3</v>
      </c>
      <c r="L227" s="347"/>
      <c r="M227" s="330" t="s">
        <v>520</v>
      </c>
      <c r="N227" s="330">
        <f t="shared" si="4"/>
        <v>0.2</v>
      </c>
      <c r="O227" s="98"/>
      <c r="P227" s="94"/>
    </row>
    <row r="228" spans="1:16">
      <c r="B228" s="177">
        <v>221</v>
      </c>
      <c r="C228" s="177" t="s">
        <v>441</v>
      </c>
      <c r="D228" s="454" t="s">
        <v>1869</v>
      </c>
      <c r="E228" s="90">
        <f>'[3]VLH - détail'!F236</f>
        <v>70059.073811037451</v>
      </c>
      <c r="F228" s="90"/>
      <c r="G228" s="96">
        <f>'[3]VLH - détail'!I236</f>
        <v>57.157189216235849</v>
      </c>
      <c r="H228" s="96">
        <f>'[3]VLH - détail'!O236</f>
        <v>70059.073811037451</v>
      </c>
      <c r="I228" s="96">
        <f>'[3]VLH - détail'!P236</f>
        <v>320443.02228779305</v>
      </c>
      <c r="J228" s="51">
        <f>'[3]VLnappe - détail'!R227</f>
        <v>0.1</v>
      </c>
      <c r="K228" s="356">
        <v>1.49E-2</v>
      </c>
      <c r="L228" s="347"/>
      <c r="M228" s="330" t="s">
        <v>520</v>
      </c>
      <c r="N228" s="330">
        <f t="shared" si="4"/>
        <v>0.2</v>
      </c>
      <c r="O228" s="98"/>
      <c r="P228" s="94"/>
    </row>
    <row r="229" spans="1:16">
      <c r="B229" s="177">
        <v>222</v>
      </c>
      <c r="C229" s="177" t="s">
        <v>442</v>
      </c>
      <c r="D229" s="454" t="s">
        <v>1757</v>
      </c>
      <c r="E229" s="90">
        <f>'[3]VLH - détail'!F237</f>
        <v>11676.512301839577</v>
      </c>
      <c r="F229" s="90"/>
      <c r="G229" s="96">
        <f>'[3]VLH - détail'!I237</f>
        <v>2.0556675805625511</v>
      </c>
      <c r="H229" s="96">
        <f>'[3]VLH - détail'!O237</f>
        <v>11676.512301839577</v>
      </c>
      <c r="I229" s="96">
        <f>'[3]VLH - détail'!P237</f>
        <v>53407.170381298849</v>
      </c>
      <c r="J229" s="51">
        <f>'[3]VLnappe - détail'!R228</f>
        <v>0.1</v>
      </c>
      <c r="K229" s="356">
        <v>9.1999999999999998E-3</v>
      </c>
      <c r="L229" s="347"/>
      <c r="M229" s="330" t="s">
        <v>520</v>
      </c>
      <c r="N229" s="330">
        <f t="shared" si="4"/>
        <v>0.2</v>
      </c>
      <c r="O229" s="98"/>
      <c r="P229" s="94"/>
    </row>
    <row r="230" spans="1:16">
      <c r="B230" s="177">
        <v>223</v>
      </c>
      <c r="C230" s="177" t="s">
        <v>443</v>
      </c>
      <c r="D230" s="454" t="s">
        <v>1864</v>
      </c>
      <c r="E230" s="90">
        <f>'[3]VLH - détail'!F238</f>
        <v>467.06049207358308</v>
      </c>
      <c r="F230" s="90"/>
      <c r="G230" s="96">
        <f>'[3]VLH - détail'!I238</f>
        <v>9.2135659169585424E-2</v>
      </c>
      <c r="H230" s="96">
        <f>'[3]VLH - détail'!O238</f>
        <v>467.06049207358308</v>
      </c>
      <c r="I230" s="96">
        <f>'[3]VLH - détail'!P238</f>
        <v>2136.2868152519541</v>
      </c>
      <c r="J230" s="51">
        <f>'[3]VLnappe - détail'!R229</f>
        <v>0.1</v>
      </c>
      <c r="K230" s="356">
        <v>2.8E-3</v>
      </c>
      <c r="L230" s="347"/>
      <c r="M230" s="330" t="s">
        <v>520</v>
      </c>
      <c r="N230" s="330">
        <f t="shared" si="4"/>
        <v>0.2</v>
      </c>
      <c r="O230" s="98"/>
      <c r="P230" s="94"/>
    </row>
    <row r="231" spans="1:16">
      <c r="B231" s="177">
        <v>224</v>
      </c>
      <c r="C231" s="177" t="s">
        <v>444</v>
      </c>
      <c r="D231" s="454" t="s">
        <v>1909</v>
      </c>
      <c r="E231" s="90">
        <f>'[3]VLH - détail'!F239</f>
        <v>1167.6512301839575</v>
      </c>
      <c r="F231" s="90"/>
      <c r="G231" s="96">
        <f>'[3]VLH - détail'!I239</f>
        <v>2.6159931213813077</v>
      </c>
      <c r="H231" s="96">
        <f>'[3]VLH - détail'!O239</f>
        <v>1167.6512301839575</v>
      </c>
      <c r="I231" s="96">
        <f>'[3]VLH - détail'!P239</f>
        <v>5340.7170381298856</v>
      </c>
      <c r="J231" s="51">
        <f>'[3]VLnappe - détail'!R230</f>
        <v>0.1</v>
      </c>
      <c r="K231" s="356">
        <v>0.25740000000000002</v>
      </c>
      <c r="L231" s="347"/>
      <c r="M231" s="330" t="s">
        <v>520</v>
      </c>
      <c r="N231" s="330">
        <f t="shared" si="4"/>
        <v>0.2</v>
      </c>
      <c r="O231" s="98"/>
      <c r="P231" s="94"/>
    </row>
    <row r="232" spans="1:16">
      <c r="B232" s="177">
        <v>225</v>
      </c>
      <c r="C232" s="177" t="s">
        <v>445</v>
      </c>
      <c r="D232" s="454" t="s">
        <v>1939</v>
      </c>
      <c r="E232" s="90">
        <f>'[3]VLH - détail'!F240</f>
        <v>233.53024603679154</v>
      </c>
      <c r="F232" s="90"/>
      <c r="G232" s="96">
        <f>'[3]VLH - détail'!I240</f>
        <v>2.4061522130449368E-2</v>
      </c>
      <c r="H232" s="96">
        <f>'[3]VLH - détail'!O240</f>
        <v>233.53024603679154</v>
      </c>
      <c r="I232" s="96">
        <f>'[3]VLH - détail'!P240</f>
        <v>1068.143407625977</v>
      </c>
      <c r="J232" s="51">
        <f>'[3]VLnappe - détail'!R231</f>
        <v>0.1</v>
      </c>
      <c r="K232" s="356">
        <v>4.3E-3</v>
      </c>
      <c r="L232" s="347"/>
      <c r="M232" s="330" t="s">
        <v>520</v>
      </c>
      <c r="N232" s="330">
        <f t="shared" si="4"/>
        <v>0.2</v>
      </c>
      <c r="O232" s="98"/>
      <c r="P232" s="94"/>
    </row>
    <row r="233" spans="1:16" ht="45">
      <c r="B233" s="177">
        <v>226</v>
      </c>
      <c r="C233" s="177" t="s">
        <v>446</v>
      </c>
      <c r="D233" s="454" t="s">
        <v>1726</v>
      </c>
      <c r="E233" s="577" t="s">
        <v>515</v>
      </c>
      <c r="F233" s="578"/>
      <c r="G233" s="578"/>
      <c r="H233" s="578"/>
      <c r="I233" s="579"/>
      <c r="J233" s="51">
        <f>'[3]VLnappe - détail'!R232</f>
        <v>0.1</v>
      </c>
      <c r="K233" s="351" t="s">
        <v>515</v>
      </c>
      <c r="L233" s="319" t="s">
        <v>1569</v>
      </c>
      <c r="M233" s="51" t="s">
        <v>516</v>
      </c>
      <c r="N233" s="330">
        <f t="shared" si="4"/>
        <v>0.2</v>
      </c>
      <c r="O233" s="93"/>
      <c r="P233" s="92"/>
    </row>
    <row r="234" spans="1:16" ht="45">
      <c r="B234" s="390">
        <v>227</v>
      </c>
      <c r="C234" s="390" t="s">
        <v>447</v>
      </c>
      <c r="D234" s="454" t="s">
        <v>1779</v>
      </c>
      <c r="E234" s="577" t="s">
        <v>515</v>
      </c>
      <c r="F234" s="578"/>
      <c r="G234" s="578"/>
      <c r="H234" s="578"/>
      <c r="I234" s="579"/>
      <c r="J234" s="51">
        <f>'[3]VLnappe - détail'!R233</f>
        <v>0.1</v>
      </c>
      <c r="K234" s="351" t="s">
        <v>515</v>
      </c>
      <c r="L234" s="319" t="s">
        <v>1569</v>
      </c>
      <c r="M234" s="51" t="s">
        <v>516</v>
      </c>
      <c r="N234" s="330">
        <f t="shared" si="4"/>
        <v>0.2</v>
      </c>
      <c r="O234" s="93"/>
      <c r="P234" s="92"/>
    </row>
    <row r="235" spans="1:16" ht="45">
      <c r="B235" s="390">
        <v>228</v>
      </c>
      <c r="C235" s="390" t="s">
        <v>449</v>
      </c>
      <c r="D235" s="454" t="s">
        <v>1786</v>
      </c>
      <c r="E235" s="577" t="s">
        <v>515</v>
      </c>
      <c r="F235" s="578"/>
      <c r="G235" s="578"/>
      <c r="H235" s="578"/>
      <c r="I235" s="579"/>
      <c r="J235" s="51">
        <f>'[3]VLnappe - détail'!R234</f>
        <v>0.1</v>
      </c>
      <c r="K235" s="351" t="s">
        <v>515</v>
      </c>
      <c r="L235" s="319" t="s">
        <v>1569</v>
      </c>
      <c r="M235" s="51" t="s">
        <v>516</v>
      </c>
      <c r="N235" s="330">
        <f t="shared" si="4"/>
        <v>0.2</v>
      </c>
      <c r="O235" s="93"/>
      <c r="P235" s="92"/>
    </row>
    <row r="236" spans="1:16" ht="45">
      <c r="B236" s="390">
        <v>229</v>
      </c>
      <c r="C236" s="390" t="s">
        <v>450</v>
      </c>
      <c r="D236" s="454" t="s">
        <v>1915</v>
      </c>
      <c r="E236" s="577" t="s">
        <v>515</v>
      </c>
      <c r="F236" s="578"/>
      <c r="G236" s="578"/>
      <c r="H236" s="578"/>
      <c r="I236" s="579"/>
      <c r="J236" s="51">
        <f>'[3]VLnappe - détail'!R235</f>
        <v>0.1</v>
      </c>
      <c r="K236" s="351" t="s">
        <v>515</v>
      </c>
      <c r="L236" s="319" t="s">
        <v>1569</v>
      </c>
      <c r="M236" s="51" t="s">
        <v>516</v>
      </c>
      <c r="N236" s="330">
        <f t="shared" si="4"/>
        <v>0.2</v>
      </c>
      <c r="O236" s="93"/>
      <c r="P236" s="92"/>
    </row>
    <row r="237" spans="1:16" ht="45">
      <c r="A237" s="396"/>
      <c r="B237" s="390">
        <v>230</v>
      </c>
      <c r="C237" s="390" t="s">
        <v>451</v>
      </c>
      <c r="D237" s="454" t="s">
        <v>1819</v>
      </c>
      <c r="E237" s="577" t="s">
        <v>515</v>
      </c>
      <c r="F237" s="578"/>
      <c r="G237" s="578"/>
      <c r="H237" s="578"/>
      <c r="I237" s="579"/>
      <c r="J237" s="51">
        <f>'[3]VLnappe - détail'!R236</f>
        <v>0.1</v>
      </c>
      <c r="K237" s="351" t="s">
        <v>515</v>
      </c>
      <c r="L237" s="319" t="s">
        <v>1569</v>
      </c>
      <c r="M237" s="51" t="s">
        <v>516</v>
      </c>
      <c r="N237" s="330">
        <f t="shared" si="4"/>
        <v>0.2</v>
      </c>
      <c r="O237" s="93"/>
      <c r="P237" s="92"/>
    </row>
    <row r="238" spans="1:16" ht="45">
      <c r="A238" s="396"/>
      <c r="B238" s="390">
        <v>231</v>
      </c>
      <c r="C238" s="390" t="s">
        <v>452</v>
      </c>
      <c r="D238" s="454" t="s">
        <v>1822</v>
      </c>
      <c r="E238" s="577" t="s">
        <v>515</v>
      </c>
      <c r="F238" s="578"/>
      <c r="G238" s="578"/>
      <c r="H238" s="578"/>
      <c r="I238" s="579"/>
      <c r="J238" s="51">
        <f>'[3]VLnappe - détail'!R237</f>
        <v>0.1</v>
      </c>
      <c r="K238" s="351" t="s">
        <v>515</v>
      </c>
      <c r="L238" s="319" t="s">
        <v>1569</v>
      </c>
      <c r="M238" s="51" t="s">
        <v>516</v>
      </c>
      <c r="N238" s="330">
        <f t="shared" si="4"/>
        <v>0.2</v>
      </c>
      <c r="O238" s="93"/>
      <c r="P238" s="92"/>
    </row>
    <row r="239" spans="1:16" ht="45">
      <c r="A239" s="396"/>
      <c r="B239" s="390">
        <v>232</v>
      </c>
      <c r="C239" s="390" t="s">
        <v>453</v>
      </c>
      <c r="D239" s="454" t="s">
        <v>1882</v>
      </c>
      <c r="E239" s="577" t="s">
        <v>515</v>
      </c>
      <c r="F239" s="578"/>
      <c r="G239" s="578"/>
      <c r="H239" s="578"/>
      <c r="I239" s="579"/>
      <c r="J239" s="51">
        <f>'[3]VLnappe - détail'!R238</f>
        <v>0.1</v>
      </c>
      <c r="K239" s="351" t="s">
        <v>515</v>
      </c>
      <c r="L239" s="319" t="s">
        <v>1569</v>
      </c>
      <c r="M239" s="51" t="s">
        <v>516</v>
      </c>
      <c r="N239" s="330">
        <f t="shared" si="4"/>
        <v>0.2</v>
      </c>
      <c r="O239" s="93"/>
      <c r="P239" s="92"/>
    </row>
    <row r="240" spans="1:16" ht="45">
      <c r="A240" s="396"/>
      <c r="B240" s="390">
        <v>233</v>
      </c>
      <c r="C240" s="390" t="s">
        <v>454</v>
      </c>
      <c r="D240" s="454" t="s">
        <v>1894</v>
      </c>
      <c r="E240" s="577" t="s">
        <v>515</v>
      </c>
      <c r="F240" s="578"/>
      <c r="G240" s="578"/>
      <c r="H240" s="578"/>
      <c r="I240" s="579"/>
      <c r="J240" s="51">
        <f>'[3]VLnappe - détail'!R239</f>
        <v>0.1</v>
      </c>
      <c r="K240" s="351" t="s">
        <v>515</v>
      </c>
      <c r="L240" s="319" t="s">
        <v>1569</v>
      </c>
      <c r="M240" s="51" t="s">
        <v>516</v>
      </c>
      <c r="N240" s="330">
        <f t="shared" si="4"/>
        <v>0.2</v>
      </c>
      <c r="O240" s="93"/>
      <c r="P240" s="92"/>
    </row>
    <row r="241" spans="1:16" ht="45" customHeight="1">
      <c r="A241" s="396"/>
      <c r="B241" s="390">
        <v>234</v>
      </c>
      <c r="C241" s="390" t="s">
        <v>455</v>
      </c>
      <c r="D241" s="454" t="s">
        <v>1917</v>
      </c>
      <c r="E241" s="577" t="s">
        <v>515</v>
      </c>
      <c r="F241" s="578"/>
      <c r="G241" s="578"/>
      <c r="H241" s="578"/>
      <c r="I241" s="579"/>
      <c r="J241" s="51" t="s">
        <v>515</v>
      </c>
      <c r="K241" s="357" t="s">
        <v>515</v>
      </c>
      <c r="L241" s="319" t="s">
        <v>1524</v>
      </c>
      <c r="M241" s="51" t="s">
        <v>516</v>
      </c>
      <c r="N241" s="330" t="s">
        <v>515</v>
      </c>
      <c r="O241" s="93"/>
      <c r="P241" s="92"/>
    </row>
    <row r="242" spans="1:16" ht="45" customHeight="1">
      <c r="A242" s="396"/>
      <c r="B242" s="390">
        <v>235</v>
      </c>
      <c r="C242" s="390" t="s">
        <v>456</v>
      </c>
      <c r="D242" s="454" t="s">
        <v>1936</v>
      </c>
      <c r="E242" s="577" t="s">
        <v>515</v>
      </c>
      <c r="F242" s="578"/>
      <c r="G242" s="578"/>
      <c r="H242" s="578"/>
      <c r="I242" s="579"/>
      <c r="J242" s="51" t="s">
        <v>515</v>
      </c>
      <c r="K242" s="356" t="s">
        <v>515</v>
      </c>
      <c r="L242" s="319" t="s">
        <v>1524</v>
      </c>
      <c r="M242" s="51" t="s">
        <v>516</v>
      </c>
      <c r="N242" s="330" t="s">
        <v>515</v>
      </c>
      <c r="O242" s="93" t="s">
        <v>547</v>
      </c>
      <c r="P242" s="92"/>
    </row>
    <row r="243" spans="1:16" ht="45">
      <c r="A243" s="396"/>
      <c r="B243" s="390">
        <v>237</v>
      </c>
      <c r="C243" s="390" t="s">
        <v>457</v>
      </c>
      <c r="D243" s="454" t="s">
        <v>1824</v>
      </c>
      <c r="E243" s="90">
        <f>'[3]VLH - détail'!F252</f>
        <v>107012.7638395111</v>
      </c>
      <c r="F243" s="90"/>
      <c r="G243" s="96">
        <f>'[3]VLH - détail'!I252</f>
        <v>1298.6077398526363</v>
      </c>
      <c r="H243" s="96">
        <f>'[3]VLH - détail'!O252</f>
        <v>5490.3710439576207</v>
      </c>
      <c r="I243" s="96">
        <f>'[3]VLH - détail'!P252</f>
        <v>5490.3710439576207</v>
      </c>
      <c r="J243" s="51">
        <f>'[3]VLnappe - détail'!R243</f>
        <v>40000</v>
      </c>
      <c r="K243" s="351" t="s">
        <v>515</v>
      </c>
      <c r="L243" s="319" t="s">
        <v>1569</v>
      </c>
      <c r="M243" s="51" t="s">
        <v>550</v>
      </c>
      <c r="N243" s="330">
        <f>J243*2</f>
        <v>80000</v>
      </c>
      <c r="O243" s="93"/>
      <c r="P243" s="92"/>
    </row>
    <row r="244" spans="1:16">
      <c r="A244" s="396"/>
      <c r="B244" s="390">
        <v>238</v>
      </c>
      <c r="C244" s="390" t="s">
        <v>1546</v>
      </c>
      <c r="D244" s="420" t="s">
        <v>1798</v>
      </c>
      <c r="E244" s="90">
        <f>'VL - détail VLH (Risc Human)'!F245</f>
        <v>467.06049207358308</v>
      </c>
      <c r="F244" s="90"/>
      <c r="G244" s="96">
        <f>'VL - détail VLH (Risc Human)'!I245</f>
        <v>0.25491396117994902</v>
      </c>
      <c r="H244" s="96">
        <f>'VL - détail VLH (Risc Human)'!O245</f>
        <v>467.06049207358308</v>
      </c>
      <c r="I244" s="96">
        <f>'VL - détail VLH (Risc Human)'!P245</f>
        <v>2136.2868152519541</v>
      </c>
      <c r="J244" s="51">
        <f>'VL - détail VLnappe'!R243</f>
        <v>35</v>
      </c>
      <c r="K244" s="419">
        <v>1.1464000000000001</v>
      </c>
      <c r="L244" s="394"/>
      <c r="M244" s="51" t="s">
        <v>1960</v>
      </c>
      <c r="N244" s="330">
        <f>J244*2</f>
        <v>70</v>
      </c>
      <c r="O244" s="93"/>
      <c r="P244" s="92"/>
    </row>
    <row r="245" spans="1:16" ht="45" customHeight="1">
      <c r="A245" s="396"/>
      <c r="B245" s="390">
        <v>239</v>
      </c>
      <c r="C245" s="390" t="s">
        <v>1547</v>
      </c>
      <c r="D245" s="543" t="s">
        <v>1791</v>
      </c>
      <c r="E245" s="576" t="s">
        <v>515</v>
      </c>
      <c r="F245" s="576"/>
      <c r="G245" s="576"/>
      <c r="H245" s="576"/>
      <c r="I245" s="576"/>
      <c r="J245" s="51" t="s">
        <v>515</v>
      </c>
      <c r="K245" s="51" t="s">
        <v>515</v>
      </c>
      <c r="L245" s="319" t="s">
        <v>1524</v>
      </c>
      <c r="M245" s="51" t="s">
        <v>516</v>
      </c>
      <c r="N245" s="330" t="s">
        <v>515</v>
      </c>
      <c r="O245" s="358" t="s">
        <v>1571</v>
      </c>
      <c r="P245" s="92"/>
    </row>
    <row r="246" spans="1:16" ht="45">
      <c r="A246" s="396"/>
      <c r="B246" s="390">
        <v>240</v>
      </c>
      <c r="C246" s="390" t="s">
        <v>1548</v>
      </c>
      <c r="D246" s="543" t="s">
        <v>1859</v>
      </c>
      <c r="E246" s="576" t="s">
        <v>515</v>
      </c>
      <c r="F246" s="576"/>
      <c r="G246" s="576"/>
      <c r="H246" s="576"/>
      <c r="I246" s="576"/>
      <c r="J246" s="51" t="s">
        <v>515</v>
      </c>
      <c r="K246" s="51" t="s">
        <v>515</v>
      </c>
      <c r="L246" s="319" t="s">
        <v>1524</v>
      </c>
      <c r="M246" s="51" t="s">
        <v>516</v>
      </c>
      <c r="N246" s="330" t="s">
        <v>515</v>
      </c>
      <c r="O246" s="358" t="s">
        <v>1571</v>
      </c>
      <c r="P246" s="92"/>
    </row>
    <row r="247" spans="1:16">
      <c r="A247" s="396"/>
      <c r="B247" s="390">
        <v>241</v>
      </c>
      <c r="C247" s="390" t="s">
        <v>1549</v>
      </c>
      <c r="D247" s="543" t="s">
        <v>1582</v>
      </c>
      <c r="E247" s="90">
        <f>'VL - détail VLH (Risc Human)'!F248</f>
        <v>12.417182227402934</v>
      </c>
      <c r="F247" s="90"/>
      <c r="G247" s="90">
        <f>'VL - détail VLH (Risc Human)'!I248</f>
        <v>1.1052830069966652E-2</v>
      </c>
      <c r="H247" s="90">
        <f>'VL - détail VLH (Risc Human)'!O248</f>
        <v>1.7122100932471176</v>
      </c>
      <c r="I247" s="90">
        <f>'VL - détail VLH (Risc Human)'!P248</f>
        <v>0.53570952256794679</v>
      </c>
      <c r="J247" s="51">
        <f>'VL - détail VLnappe'!R246</f>
        <v>4.7</v>
      </c>
      <c r="K247" s="419">
        <v>3.8600000000000002E-2</v>
      </c>
      <c r="L247" s="394"/>
      <c r="M247" s="51" t="s">
        <v>1960</v>
      </c>
      <c r="N247" s="330">
        <f>J247*2</f>
        <v>9.4</v>
      </c>
      <c r="O247" s="93"/>
      <c r="P247" s="92"/>
    </row>
    <row r="248" spans="1:16" ht="45">
      <c r="A248" s="396"/>
      <c r="B248" s="390">
        <v>242</v>
      </c>
      <c r="C248" s="390" t="s">
        <v>1550</v>
      </c>
      <c r="D248" s="543" t="s">
        <v>1830</v>
      </c>
      <c r="E248" s="576" t="s">
        <v>515</v>
      </c>
      <c r="F248" s="576"/>
      <c r="G248" s="576"/>
      <c r="H248" s="576"/>
      <c r="I248" s="576"/>
      <c r="J248" s="51" t="s">
        <v>515</v>
      </c>
      <c r="K248" s="51" t="s">
        <v>515</v>
      </c>
      <c r="L248" s="319" t="s">
        <v>1524</v>
      </c>
      <c r="M248" s="51" t="s">
        <v>550</v>
      </c>
      <c r="N248" s="330" t="s">
        <v>515</v>
      </c>
      <c r="O248" s="420" t="s">
        <v>547</v>
      </c>
      <c r="P248" s="92"/>
    </row>
    <row r="249" spans="1:16" ht="45">
      <c r="A249" s="396"/>
      <c r="B249" s="390">
        <v>243</v>
      </c>
      <c r="C249" s="390" t="s">
        <v>1572</v>
      </c>
      <c r="D249" s="420" t="s">
        <v>1655</v>
      </c>
      <c r="E249" s="577" t="s">
        <v>515</v>
      </c>
      <c r="F249" s="578"/>
      <c r="G249" s="578"/>
      <c r="H249" s="578"/>
      <c r="I249" s="579"/>
      <c r="J249" s="51" t="s">
        <v>515</v>
      </c>
      <c r="K249" s="51" t="s">
        <v>515</v>
      </c>
      <c r="L249" s="319" t="s">
        <v>1524</v>
      </c>
      <c r="M249" s="51" t="s">
        <v>516</v>
      </c>
      <c r="N249" s="330" t="s">
        <v>515</v>
      </c>
      <c r="O249" s="421" t="s">
        <v>545</v>
      </c>
      <c r="P249" s="92"/>
    </row>
    <row r="250" spans="1:16" ht="45">
      <c r="A250" s="396"/>
      <c r="B250" s="390">
        <v>244</v>
      </c>
      <c r="C250" s="390" t="s">
        <v>1583</v>
      </c>
      <c r="D250" s="454" t="s">
        <v>1592</v>
      </c>
      <c r="E250" s="577" t="s">
        <v>515</v>
      </c>
      <c r="F250" s="578"/>
      <c r="G250" s="578"/>
      <c r="H250" s="578"/>
      <c r="I250" s="579"/>
      <c r="J250" s="51" t="s">
        <v>515</v>
      </c>
      <c r="K250" s="51" t="s">
        <v>515</v>
      </c>
      <c r="L250" s="319" t="s">
        <v>1524</v>
      </c>
      <c r="M250" s="51" t="s">
        <v>516</v>
      </c>
      <c r="N250" s="330" t="s">
        <v>515</v>
      </c>
      <c r="O250" s="93"/>
      <c r="P250" s="92"/>
    </row>
    <row r="251" spans="1:16" s="424" customFormat="1" ht="45">
      <c r="A251" s="396"/>
      <c r="B251" s="390">
        <v>245</v>
      </c>
      <c r="C251" s="390" t="s">
        <v>1584</v>
      </c>
      <c r="D251" s="454" t="s">
        <v>1638</v>
      </c>
      <c r="E251" s="577" t="s">
        <v>515</v>
      </c>
      <c r="F251" s="578"/>
      <c r="G251" s="578"/>
      <c r="H251" s="578"/>
      <c r="I251" s="579"/>
      <c r="J251" s="51" t="s">
        <v>515</v>
      </c>
      <c r="K251" s="51" t="s">
        <v>515</v>
      </c>
      <c r="L251" s="319" t="s">
        <v>1524</v>
      </c>
      <c r="M251" s="51" t="s">
        <v>516</v>
      </c>
      <c r="N251" s="330" t="s">
        <v>515</v>
      </c>
      <c r="O251" s="93"/>
      <c r="P251" s="391"/>
    </row>
    <row r="252" spans="1:16" s="424" customFormat="1" ht="45">
      <c r="A252" s="396"/>
      <c r="B252" s="390">
        <v>246</v>
      </c>
      <c r="C252" s="390" t="s">
        <v>1585</v>
      </c>
      <c r="D252" s="454" t="s">
        <v>1683</v>
      </c>
      <c r="E252" s="577" t="s">
        <v>515</v>
      </c>
      <c r="F252" s="578"/>
      <c r="G252" s="578"/>
      <c r="H252" s="578"/>
      <c r="I252" s="579"/>
      <c r="J252" s="51" t="s">
        <v>515</v>
      </c>
      <c r="K252" s="51" t="s">
        <v>515</v>
      </c>
      <c r="L252" s="319" t="s">
        <v>1524</v>
      </c>
      <c r="M252" s="51" t="s">
        <v>516</v>
      </c>
      <c r="N252" s="330" t="s">
        <v>515</v>
      </c>
      <c r="O252" s="93"/>
      <c r="P252" s="391"/>
    </row>
    <row r="253" spans="1:16" s="424" customFormat="1" ht="45">
      <c r="A253" s="396"/>
      <c r="B253" s="390">
        <v>247</v>
      </c>
      <c r="C253" s="390" t="s">
        <v>1586</v>
      </c>
      <c r="D253" s="454" t="s">
        <v>1626</v>
      </c>
      <c r="E253" s="577" t="s">
        <v>515</v>
      </c>
      <c r="F253" s="578"/>
      <c r="G253" s="578"/>
      <c r="H253" s="578"/>
      <c r="I253" s="579"/>
      <c r="J253" s="51" t="s">
        <v>515</v>
      </c>
      <c r="K253" s="51" t="s">
        <v>515</v>
      </c>
      <c r="L253" s="319" t="s">
        <v>1524</v>
      </c>
      <c r="M253" s="51" t="s">
        <v>516</v>
      </c>
      <c r="N253" s="330" t="s">
        <v>515</v>
      </c>
      <c r="O253" s="93"/>
      <c r="P253" s="391"/>
    </row>
    <row r="254" spans="1:16" s="424" customFormat="1" ht="45">
      <c r="A254" s="396"/>
      <c r="B254" s="390">
        <v>248</v>
      </c>
      <c r="C254" s="390" t="s">
        <v>1587</v>
      </c>
      <c r="D254" s="454" t="s">
        <v>1594</v>
      </c>
      <c r="E254" s="577" t="s">
        <v>515</v>
      </c>
      <c r="F254" s="578"/>
      <c r="G254" s="578"/>
      <c r="H254" s="578"/>
      <c r="I254" s="579"/>
      <c r="J254" s="51" t="s">
        <v>515</v>
      </c>
      <c r="K254" s="51" t="s">
        <v>515</v>
      </c>
      <c r="L254" s="319" t="s">
        <v>1524</v>
      </c>
      <c r="M254" s="51" t="s">
        <v>516</v>
      </c>
      <c r="N254" s="330" t="s">
        <v>515</v>
      </c>
      <c r="O254" s="93"/>
      <c r="P254" s="391"/>
    </row>
    <row r="255" spans="1:16" s="424" customFormat="1" ht="45">
      <c r="A255" s="396"/>
      <c r="B255" s="390">
        <v>249</v>
      </c>
      <c r="C255" s="390" t="s">
        <v>1588</v>
      </c>
      <c r="D255" s="454" t="s">
        <v>1596</v>
      </c>
      <c r="E255" s="577" t="s">
        <v>515</v>
      </c>
      <c r="F255" s="578"/>
      <c r="G255" s="578"/>
      <c r="H255" s="578"/>
      <c r="I255" s="579"/>
      <c r="J255" s="51" t="s">
        <v>515</v>
      </c>
      <c r="K255" s="51" t="s">
        <v>515</v>
      </c>
      <c r="L255" s="319" t="s">
        <v>1524</v>
      </c>
      <c r="M255" s="51" t="s">
        <v>516</v>
      </c>
      <c r="N255" s="330" t="s">
        <v>515</v>
      </c>
      <c r="O255" s="93"/>
      <c r="P255" s="391"/>
    </row>
    <row r="256" spans="1:16" s="424" customFormat="1" ht="45">
      <c r="A256" s="396"/>
      <c r="B256" s="390">
        <v>250</v>
      </c>
      <c r="C256" s="390" t="s">
        <v>1589</v>
      </c>
      <c r="D256" s="454" t="s">
        <v>1687</v>
      </c>
      <c r="E256" s="577" t="s">
        <v>515</v>
      </c>
      <c r="F256" s="578"/>
      <c r="G256" s="578"/>
      <c r="H256" s="578"/>
      <c r="I256" s="579"/>
      <c r="J256" s="51" t="s">
        <v>515</v>
      </c>
      <c r="K256" s="51" t="s">
        <v>515</v>
      </c>
      <c r="L256" s="319" t="s">
        <v>1524</v>
      </c>
      <c r="M256" s="51" t="s">
        <v>516</v>
      </c>
      <c r="N256" s="330" t="s">
        <v>515</v>
      </c>
      <c r="O256" s="93"/>
      <c r="P256" s="391"/>
    </row>
    <row r="257" spans="1:16" s="424" customFormat="1" ht="45">
      <c r="A257" s="396"/>
      <c r="B257" s="390">
        <v>251</v>
      </c>
      <c r="C257" s="390" t="s">
        <v>1590</v>
      </c>
      <c r="D257" s="454" t="s">
        <v>1677</v>
      </c>
      <c r="E257" s="577" t="s">
        <v>515</v>
      </c>
      <c r="F257" s="578"/>
      <c r="G257" s="578"/>
      <c r="H257" s="578"/>
      <c r="I257" s="579"/>
      <c r="J257" s="51" t="s">
        <v>515</v>
      </c>
      <c r="K257" s="51" t="s">
        <v>515</v>
      </c>
      <c r="L257" s="319" t="s">
        <v>1524</v>
      </c>
      <c r="M257" s="51" t="s">
        <v>516</v>
      </c>
      <c r="N257" s="330" t="s">
        <v>515</v>
      </c>
      <c r="O257" s="93"/>
      <c r="P257" s="391"/>
    </row>
    <row r="258" spans="1:16" s="424" customFormat="1" ht="45">
      <c r="A258" s="396"/>
      <c r="B258" s="390">
        <v>252</v>
      </c>
      <c r="C258" s="390" t="s">
        <v>1591</v>
      </c>
      <c r="D258" s="454" t="s">
        <v>1595</v>
      </c>
      <c r="E258" s="577" t="s">
        <v>515</v>
      </c>
      <c r="F258" s="578"/>
      <c r="G258" s="578"/>
      <c r="H258" s="578"/>
      <c r="I258" s="579"/>
      <c r="J258" s="51" t="s">
        <v>515</v>
      </c>
      <c r="K258" s="51" t="s">
        <v>515</v>
      </c>
      <c r="L258" s="319" t="s">
        <v>1524</v>
      </c>
      <c r="M258" s="51" t="s">
        <v>516</v>
      </c>
      <c r="N258" s="330" t="s">
        <v>515</v>
      </c>
      <c r="O258" s="93" t="s">
        <v>1597</v>
      </c>
      <c r="P258" s="391"/>
    </row>
    <row r="259" spans="1:16" s="424" customFormat="1" ht="60">
      <c r="A259" s="396"/>
      <c r="B259" s="177">
        <v>253</v>
      </c>
      <c r="C259" s="177" t="s">
        <v>1598</v>
      </c>
      <c r="D259" s="523" t="s">
        <v>1599</v>
      </c>
      <c r="E259" s="580" t="s">
        <v>515</v>
      </c>
      <c r="F259" s="581"/>
      <c r="G259" s="581"/>
      <c r="H259" s="581"/>
      <c r="I259" s="582"/>
      <c r="J259" s="51">
        <v>1500</v>
      </c>
      <c r="K259" s="51" t="s">
        <v>515</v>
      </c>
      <c r="L259" s="319" t="s">
        <v>1569</v>
      </c>
      <c r="M259" s="51" t="s">
        <v>516</v>
      </c>
      <c r="N259" s="330">
        <f>J259*2</f>
        <v>3000</v>
      </c>
      <c r="O259" s="420" t="s">
        <v>1600</v>
      </c>
      <c r="P259" s="391"/>
    </row>
    <row r="260" spans="1:16" s="424" customFormat="1">
      <c r="B260" s="390">
        <v>254</v>
      </c>
      <c r="C260" s="385" t="s">
        <v>1951</v>
      </c>
      <c r="D260" s="544" t="s">
        <v>1955</v>
      </c>
      <c r="E260" s="548">
        <v>21000</v>
      </c>
      <c r="F260" s="548">
        <v>2.629</v>
      </c>
      <c r="G260" s="548">
        <v>2.6509999999999998</v>
      </c>
      <c r="H260" s="548">
        <v>30.61</v>
      </c>
      <c r="I260" s="548">
        <v>31.13</v>
      </c>
      <c r="J260" s="51" t="s">
        <v>1960</v>
      </c>
      <c r="K260" s="51" t="s">
        <v>1960</v>
      </c>
      <c r="L260" s="394"/>
      <c r="M260" s="51">
        <v>394.7</v>
      </c>
      <c r="N260" s="51" t="s">
        <v>1960</v>
      </c>
      <c r="O260" s="93"/>
      <c r="P260" s="391"/>
    </row>
    <row r="261" spans="1:16">
      <c r="B261" s="390">
        <v>255</v>
      </c>
      <c r="C261" s="385" t="s">
        <v>1952</v>
      </c>
      <c r="D261" s="544" t="s">
        <v>1956</v>
      </c>
      <c r="E261" s="548">
        <v>1000000</v>
      </c>
      <c r="F261" s="548">
        <v>1.026</v>
      </c>
      <c r="G261" s="548">
        <v>1.026</v>
      </c>
      <c r="H261" s="548">
        <v>11.61</v>
      </c>
      <c r="I261" s="548">
        <v>11.9</v>
      </c>
      <c r="J261" s="51" t="s">
        <v>1960</v>
      </c>
      <c r="K261" s="51" t="s">
        <v>1960</v>
      </c>
      <c r="L261" s="394"/>
      <c r="M261" s="51">
        <v>39.369999999999997</v>
      </c>
      <c r="N261" s="51" t="s">
        <v>1960</v>
      </c>
      <c r="O261" s="93"/>
      <c r="P261" s="92"/>
    </row>
    <row r="262" spans="1:16">
      <c r="B262" s="390">
        <v>256</v>
      </c>
      <c r="C262" s="385" t="s">
        <v>1953</v>
      </c>
      <c r="D262" s="544" t="s">
        <v>1957</v>
      </c>
      <c r="E262" s="548">
        <v>12020</v>
      </c>
      <c r="F262" s="548">
        <v>3.0510000000000002</v>
      </c>
      <c r="G262" s="548">
        <v>3.0569999999999999</v>
      </c>
      <c r="H262" s="548">
        <v>34.68</v>
      </c>
      <c r="I262" s="548">
        <v>35.53</v>
      </c>
      <c r="J262" s="51" t="s">
        <v>1960</v>
      </c>
      <c r="K262" s="51" t="s">
        <v>1960</v>
      </c>
      <c r="L262" s="394"/>
      <c r="M262" s="51">
        <v>0.73870000000000002</v>
      </c>
      <c r="N262" s="51" t="s">
        <v>1960</v>
      </c>
      <c r="O262" s="93"/>
      <c r="P262" s="92"/>
    </row>
    <row r="263" spans="1:16">
      <c r="B263" s="390">
        <v>257</v>
      </c>
      <c r="C263" s="385" t="s">
        <v>1954</v>
      </c>
      <c r="D263" s="544" t="s">
        <v>1958</v>
      </c>
      <c r="E263" s="548">
        <v>1000000</v>
      </c>
      <c r="F263" s="548">
        <v>1.4850000000000001</v>
      </c>
      <c r="G263" s="548">
        <v>1.4850000000000001</v>
      </c>
      <c r="H263" s="548">
        <v>16.809999999999999</v>
      </c>
      <c r="I263" s="548">
        <v>17.23</v>
      </c>
      <c r="J263" s="51" t="s">
        <v>1960</v>
      </c>
      <c r="K263" s="51" t="s">
        <v>1960</v>
      </c>
      <c r="L263" s="394"/>
      <c r="M263" s="51">
        <v>25.96</v>
      </c>
      <c r="N263" s="51" t="s">
        <v>1960</v>
      </c>
      <c r="O263" s="93"/>
      <c r="P263" s="92"/>
    </row>
    <row r="264" spans="1:16">
      <c r="B264" s="177"/>
      <c r="C264" s="177"/>
      <c r="D264" s="523"/>
      <c r="E264" s="359"/>
      <c r="F264" s="360"/>
      <c r="G264" s="360"/>
      <c r="H264" s="360"/>
      <c r="I264" s="361"/>
      <c r="J264" s="51"/>
      <c r="K264" s="356"/>
      <c r="L264" s="59"/>
      <c r="M264" s="51"/>
      <c r="N264" s="330"/>
      <c r="O264" s="93"/>
      <c r="P264" s="92"/>
    </row>
    <row r="265" spans="1:16">
      <c r="B265" s="386"/>
      <c r="C265" s="386"/>
      <c r="D265" s="514"/>
      <c r="E265" s="362"/>
      <c r="F265" s="362"/>
      <c r="G265" s="363"/>
      <c r="H265" s="363"/>
      <c r="I265" s="363"/>
      <c r="J265" s="364"/>
      <c r="K265" s="365"/>
      <c r="L265" s="366"/>
      <c r="M265" s="364"/>
      <c r="N265" s="367"/>
      <c r="O265" s="368"/>
      <c r="P265" s="369"/>
    </row>
  </sheetData>
  <mergeCells count="105">
    <mergeCell ref="E241:I241"/>
    <mergeCell ref="E242:I242"/>
    <mergeCell ref="E219:I219"/>
    <mergeCell ref="E163:I163"/>
    <mergeCell ref="E168:I168"/>
    <mergeCell ref="E169:I169"/>
    <mergeCell ref="E170:I170"/>
    <mergeCell ref="E172:I172"/>
    <mergeCell ref="E175:I175"/>
    <mergeCell ref="E181:I181"/>
    <mergeCell ref="E184:I184"/>
    <mergeCell ref="E191:I191"/>
    <mergeCell ref="E209:I209"/>
    <mergeCell ref="E213:I213"/>
    <mergeCell ref="E220:I220"/>
    <mergeCell ref="E233:I233"/>
    <mergeCell ref="E234:I234"/>
    <mergeCell ref="E235:I235"/>
    <mergeCell ref="E236:I236"/>
    <mergeCell ref="E237:I237"/>
    <mergeCell ref="E238:I238"/>
    <mergeCell ref="E239:I239"/>
    <mergeCell ref="E240:I240"/>
    <mergeCell ref="E161:I161"/>
    <mergeCell ref="E147:I147"/>
    <mergeCell ref="E148:I148"/>
    <mergeCell ref="E149:I149"/>
    <mergeCell ref="E150:I150"/>
    <mergeCell ref="E151:I151"/>
    <mergeCell ref="E152:I152"/>
    <mergeCell ref="E153:I153"/>
    <mergeCell ref="E154:I154"/>
    <mergeCell ref="E155:I155"/>
    <mergeCell ref="E156:I156"/>
    <mergeCell ref="E157:I157"/>
    <mergeCell ref="E126:I126"/>
    <mergeCell ref="E127:I127"/>
    <mergeCell ref="E128:I128"/>
    <mergeCell ref="E146:I146"/>
    <mergeCell ref="E130:I130"/>
    <mergeCell ref="E131:I131"/>
    <mergeCell ref="E132:I132"/>
    <mergeCell ref="E133:I133"/>
    <mergeCell ref="E134:I134"/>
    <mergeCell ref="E136:I136"/>
    <mergeCell ref="E139:I139"/>
    <mergeCell ref="E141:I141"/>
    <mergeCell ref="E142:I142"/>
    <mergeCell ref="E144:I144"/>
    <mergeCell ref="E145:I145"/>
    <mergeCell ref="E48:I48"/>
    <mergeCell ref="E73:I73"/>
    <mergeCell ref="E75:I75"/>
    <mergeCell ref="E76:I76"/>
    <mergeCell ref="E77:I77"/>
    <mergeCell ref="E78:I78"/>
    <mergeCell ref="E79:I79"/>
    <mergeCell ref="E80:I80"/>
    <mergeCell ref="E81:I81"/>
    <mergeCell ref="E59:I59"/>
    <mergeCell ref="E50:I50"/>
    <mergeCell ref="E47:I47"/>
    <mergeCell ref="B2:M2"/>
    <mergeCell ref="E33:I33"/>
    <mergeCell ref="E37:I37"/>
    <mergeCell ref="E38:I38"/>
    <mergeCell ref="E40:I40"/>
    <mergeCell ref="E41:I41"/>
    <mergeCell ref="E42:I42"/>
    <mergeCell ref="E43:I43"/>
    <mergeCell ref="E44:I44"/>
    <mergeCell ref="E255:I255"/>
    <mergeCell ref="E256:I256"/>
    <mergeCell ref="E257:I257"/>
    <mergeCell ref="E258:I258"/>
    <mergeCell ref="E259:I259"/>
    <mergeCell ref="E250:I250"/>
    <mergeCell ref="E251:I251"/>
    <mergeCell ref="E252:I252"/>
    <mergeCell ref="E253:I253"/>
    <mergeCell ref="E254:I254"/>
    <mergeCell ref="E245:I245"/>
    <mergeCell ref="E246:I246"/>
    <mergeCell ref="E248:I248"/>
    <mergeCell ref="E249:I249"/>
    <mergeCell ref="E93:I93"/>
    <mergeCell ref="E82:I82"/>
    <mergeCell ref="E107:I107"/>
    <mergeCell ref="E94:I94"/>
    <mergeCell ref="E95:I95"/>
    <mergeCell ref="E96:I96"/>
    <mergeCell ref="E101:I101"/>
    <mergeCell ref="E102:I102"/>
    <mergeCell ref="E103:I103"/>
    <mergeCell ref="E104:I104"/>
    <mergeCell ref="E105:I105"/>
    <mergeCell ref="E106:I106"/>
    <mergeCell ref="E108:I108"/>
    <mergeCell ref="E112:I112"/>
    <mergeCell ref="E113:I113"/>
    <mergeCell ref="E116:I116"/>
    <mergeCell ref="E119:I119"/>
    <mergeCell ref="E122:I122"/>
    <mergeCell ref="E124:I124"/>
    <mergeCell ref="E125:I125"/>
  </mergeCells>
  <pageMargins left="0.70866141732283472" right="0.70866141732283472" top="0.74803149606299213" bottom="0.74803149606299213" header="0.31496062992125984" footer="0.31496062992125984"/>
  <pageSetup paperSize="8" scale="56" fitToWidth="2" fitToHeight="9" orientation="landscape" r:id="rId1"/>
</worksheet>
</file>

<file path=xl/worksheets/sheet7.xml><?xml version="1.0" encoding="utf-8"?>
<worksheet xmlns="http://schemas.openxmlformats.org/spreadsheetml/2006/main" xmlns:r="http://schemas.openxmlformats.org/officeDocument/2006/relationships">
  <sheetPr>
    <tabColor theme="3"/>
    <pageSetUpPr fitToPage="1"/>
  </sheetPr>
  <dimension ref="B2:AO265"/>
  <sheetViews>
    <sheetView view="pageBreakPreview" topLeftCell="A223" zoomScale="80" zoomScaleNormal="50" zoomScaleSheetLayoutView="80" workbookViewId="0">
      <selection activeCell="E254" sqref="E254:E255"/>
    </sheetView>
  </sheetViews>
  <sheetFormatPr baseColWidth="10" defaultRowHeight="15"/>
  <cols>
    <col min="1" max="1" width="3.5703125" customWidth="1"/>
    <col min="2" max="2" width="10.28515625" style="113" customWidth="1"/>
    <col min="3" max="3" width="15.7109375" customWidth="1"/>
    <col min="4" max="4" width="14.7109375" style="113" customWidth="1"/>
    <col min="5" max="5" width="49" customWidth="1"/>
    <col min="6" max="14" width="14" style="113" customWidth="1"/>
    <col min="15" max="15" width="23.7109375" style="113" customWidth="1"/>
    <col min="16" max="16" width="22.7109375" style="113" customWidth="1"/>
    <col min="17" max="17" width="11.7109375" customWidth="1"/>
    <col min="18" max="18" width="12.28515625" customWidth="1"/>
    <col min="23" max="23" width="11.7109375" customWidth="1"/>
    <col min="24" max="24" width="20.7109375" customWidth="1"/>
  </cols>
  <sheetData>
    <row r="2" spans="2:41" ht="15.75">
      <c r="B2" s="436" t="s">
        <v>1602</v>
      </c>
      <c r="C2" s="116"/>
      <c r="D2" s="117"/>
      <c r="E2" s="116" t="s">
        <v>551</v>
      </c>
      <c r="F2" s="118" t="s">
        <v>552</v>
      </c>
      <c r="G2" s="589" t="s">
        <v>553</v>
      </c>
      <c r="H2" s="590"/>
      <c r="I2" s="119" t="s">
        <v>554</v>
      </c>
      <c r="J2" s="120"/>
      <c r="K2" s="120"/>
      <c r="L2" s="120"/>
      <c r="M2" s="120"/>
      <c r="N2" s="121"/>
      <c r="O2" s="118" t="s">
        <v>555</v>
      </c>
      <c r="P2" s="118" t="s">
        <v>556</v>
      </c>
      <c r="Q2" s="122"/>
      <c r="R2" s="122"/>
      <c r="S2" s="122"/>
      <c r="T2" s="122"/>
      <c r="U2" s="122"/>
      <c r="V2" s="122"/>
      <c r="W2" s="122"/>
      <c r="X2" s="122"/>
      <c r="Y2" s="122"/>
      <c r="Z2" s="122"/>
      <c r="AA2" s="122"/>
      <c r="AB2" s="122"/>
      <c r="AC2" s="122"/>
      <c r="AD2" s="122"/>
      <c r="AE2" s="122"/>
      <c r="AF2" s="122"/>
      <c r="AG2" s="122"/>
      <c r="AH2" s="122"/>
      <c r="AI2" s="122"/>
      <c r="AJ2" s="122"/>
      <c r="AK2" s="122"/>
      <c r="AL2" s="122"/>
      <c r="AM2" s="122"/>
      <c r="AN2" s="122"/>
      <c r="AO2" s="122"/>
    </row>
    <row r="3" spans="2:41">
      <c r="B3" s="115"/>
      <c r="C3" s="116"/>
      <c r="D3" s="117"/>
      <c r="E3" s="116" t="s">
        <v>557</v>
      </c>
      <c r="F3" s="123" t="s">
        <v>558</v>
      </c>
      <c r="G3" s="123" t="s">
        <v>559</v>
      </c>
      <c r="H3" s="123" t="s">
        <v>560</v>
      </c>
      <c r="I3" s="123" t="s">
        <v>561</v>
      </c>
      <c r="J3" s="123" t="s">
        <v>562</v>
      </c>
      <c r="K3" s="123" t="s">
        <v>563</v>
      </c>
      <c r="L3" s="123" t="s">
        <v>564</v>
      </c>
      <c r="M3" s="123" t="s">
        <v>565</v>
      </c>
      <c r="N3" s="123" t="s">
        <v>566</v>
      </c>
      <c r="O3" s="123" t="s">
        <v>567</v>
      </c>
      <c r="P3" s="124" t="s">
        <v>568</v>
      </c>
      <c r="Q3" s="125"/>
      <c r="R3" s="125"/>
      <c r="S3" s="126"/>
      <c r="T3" s="125"/>
      <c r="U3" s="126"/>
      <c r="V3" s="126"/>
      <c r="W3" s="126"/>
      <c r="X3" s="125"/>
      <c r="Y3" s="125"/>
      <c r="Z3" s="125"/>
      <c r="AA3" s="122"/>
      <c r="AB3" s="122"/>
      <c r="AC3" s="122"/>
      <c r="AD3" s="122"/>
      <c r="AE3" s="122"/>
      <c r="AF3" s="122"/>
      <c r="AG3" s="122"/>
      <c r="AH3" s="122"/>
      <c r="AI3" s="122"/>
      <c r="AJ3" s="122"/>
      <c r="AK3" s="122"/>
      <c r="AL3" s="122"/>
      <c r="AM3" s="122"/>
      <c r="AN3" s="122"/>
      <c r="AO3" s="122"/>
    </row>
    <row r="4" spans="2:41" ht="60">
      <c r="B4" s="78" t="s">
        <v>459</v>
      </c>
      <c r="C4" s="78" t="s">
        <v>47</v>
      </c>
      <c r="D4" s="85" t="s">
        <v>569</v>
      </c>
      <c r="E4" s="86" t="s">
        <v>505</v>
      </c>
      <c r="F4" s="127" t="s">
        <v>570</v>
      </c>
      <c r="G4" s="127" t="s">
        <v>571</v>
      </c>
      <c r="H4" s="127" t="s">
        <v>572</v>
      </c>
      <c r="I4" s="127" t="s">
        <v>573</v>
      </c>
      <c r="J4" s="127" t="s">
        <v>574</v>
      </c>
      <c r="K4" s="127" t="s">
        <v>575</v>
      </c>
      <c r="L4" s="127" t="s">
        <v>576</v>
      </c>
      <c r="M4" s="127" t="s">
        <v>577</v>
      </c>
      <c r="N4" s="127" t="s">
        <v>578</v>
      </c>
      <c r="O4" s="127" t="s">
        <v>579</v>
      </c>
      <c r="P4" s="127" t="s">
        <v>580</v>
      </c>
      <c r="Q4" s="128"/>
      <c r="R4" s="128"/>
      <c r="S4" s="128"/>
      <c r="T4" s="128"/>
      <c r="U4" s="128"/>
      <c r="V4" s="128"/>
      <c r="W4" s="128"/>
      <c r="X4" s="129"/>
      <c r="Y4" s="128"/>
      <c r="Z4" s="128"/>
      <c r="AA4" s="122"/>
      <c r="AB4" s="122"/>
      <c r="AC4" s="122"/>
      <c r="AD4" s="122"/>
      <c r="AE4" s="122"/>
      <c r="AF4" s="122"/>
      <c r="AG4" s="122"/>
      <c r="AH4" s="122"/>
      <c r="AI4" s="122"/>
      <c r="AJ4" s="122"/>
      <c r="AK4" s="122"/>
      <c r="AL4" s="122"/>
      <c r="AM4" s="122"/>
      <c r="AN4" s="122"/>
      <c r="AO4" s="122"/>
    </row>
    <row r="5" spans="2:41">
      <c r="B5" s="9">
        <v>1</v>
      </c>
      <c r="C5" s="49" t="s">
        <v>199</v>
      </c>
      <c r="D5" s="130" t="s">
        <v>581</v>
      </c>
      <c r="E5" s="508" t="s">
        <v>1732</v>
      </c>
      <c r="F5" s="90">
        <v>262368.81559220387</v>
      </c>
      <c r="G5" s="91"/>
      <c r="H5" s="91"/>
      <c r="I5" s="91">
        <v>147780.22704193546</v>
      </c>
      <c r="J5" s="91">
        <v>172413.79310344826</v>
      </c>
      <c r="K5" s="91">
        <v>262368.81559220387</v>
      </c>
      <c r="L5" s="91">
        <v>262368.81559220387</v>
      </c>
      <c r="M5" s="132">
        <v>1000000</v>
      </c>
      <c r="N5" s="132">
        <v>1000000</v>
      </c>
      <c r="O5" s="91">
        <f t="shared" ref="O5:O16" si="0">MIN(K5,L5,M5,N5)</f>
        <v>262368.81559220387</v>
      </c>
      <c r="P5" s="91">
        <f>MIN(M5,N5)</f>
        <v>1000000</v>
      </c>
      <c r="Q5" s="133"/>
      <c r="R5" s="133"/>
      <c r="S5" s="125"/>
      <c r="T5" s="133"/>
      <c r="U5" s="133"/>
      <c r="V5" s="133"/>
      <c r="W5" s="133"/>
      <c r="X5" s="133"/>
      <c r="Y5" s="133"/>
      <c r="Z5" s="133"/>
      <c r="AA5" s="122"/>
      <c r="AB5" s="122"/>
      <c r="AC5" s="122"/>
      <c r="AD5" s="122"/>
      <c r="AE5" s="122"/>
      <c r="AF5" s="122"/>
      <c r="AG5" s="122"/>
      <c r="AH5" s="122"/>
      <c r="AI5" s="122"/>
      <c r="AJ5" s="122"/>
      <c r="AK5" s="122"/>
      <c r="AL5" s="122"/>
      <c r="AM5" s="122"/>
      <c r="AN5" s="122"/>
      <c r="AO5" s="122"/>
    </row>
    <row r="6" spans="2:41">
      <c r="B6" s="9">
        <v>2</v>
      </c>
      <c r="C6" s="49" t="s">
        <v>201</v>
      </c>
      <c r="D6" s="89" t="s">
        <v>581</v>
      </c>
      <c r="E6" s="508" t="s">
        <v>1735</v>
      </c>
      <c r="F6" s="90">
        <v>104.5060781481523</v>
      </c>
      <c r="G6" s="91"/>
      <c r="H6" s="91"/>
      <c r="I6" s="91">
        <v>60.051292974907334</v>
      </c>
      <c r="J6" s="91">
        <v>68.16342180377454</v>
      </c>
      <c r="K6" s="91">
        <v>104.5060781481523</v>
      </c>
      <c r="L6" s="91">
        <v>104.5060781481523</v>
      </c>
      <c r="M6" s="91">
        <v>595.34883720930236</v>
      </c>
      <c r="N6" s="91">
        <v>585.62091503267982</v>
      </c>
      <c r="O6" s="91">
        <f t="shared" si="0"/>
        <v>104.5060781481523</v>
      </c>
      <c r="P6" s="91">
        <f t="shared" ref="P6:P68" si="1">MIN(M6,N6)</f>
        <v>585.62091503267982</v>
      </c>
      <c r="Q6" s="133"/>
      <c r="R6" s="133"/>
      <c r="S6" s="125"/>
      <c r="T6" s="133"/>
      <c r="U6" s="133"/>
      <c r="V6" s="133"/>
      <c r="W6" s="133"/>
      <c r="X6" s="133"/>
      <c r="Y6" s="133"/>
      <c r="Z6" s="133"/>
      <c r="AA6" s="122"/>
      <c r="AB6" s="122"/>
      <c r="AC6" s="122"/>
      <c r="AD6" s="122"/>
      <c r="AE6" s="122"/>
      <c r="AF6" s="122"/>
      <c r="AG6" s="122"/>
      <c r="AH6" s="122"/>
      <c r="AI6" s="122"/>
      <c r="AJ6" s="122"/>
      <c r="AK6" s="122"/>
      <c r="AL6" s="122"/>
      <c r="AM6" s="122"/>
      <c r="AN6" s="122"/>
      <c r="AO6" s="122"/>
    </row>
    <row r="7" spans="2:41">
      <c r="B7" s="9">
        <v>3</v>
      </c>
      <c r="C7" s="49" t="s">
        <v>203</v>
      </c>
      <c r="D7" s="89" t="s">
        <v>581</v>
      </c>
      <c r="E7" s="508" t="s">
        <v>1740</v>
      </c>
      <c r="F7" s="90">
        <v>36890.645586297767</v>
      </c>
      <c r="G7" s="91"/>
      <c r="H7" s="91"/>
      <c r="I7" s="91">
        <v>7533.7810763568032</v>
      </c>
      <c r="J7" s="91">
        <v>15841.584158415841</v>
      </c>
      <c r="K7" s="91">
        <v>36890.645586297767</v>
      </c>
      <c r="L7" s="91">
        <v>36890.645586297767</v>
      </c>
      <c r="M7" s="91">
        <v>56423.173803526442</v>
      </c>
      <c r="N7" s="91">
        <v>42911.877394636016</v>
      </c>
      <c r="O7" s="91">
        <f t="shared" si="0"/>
        <v>36890.645586297767</v>
      </c>
      <c r="P7" s="91">
        <f t="shared" si="1"/>
        <v>42911.877394636016</v>
      </c>
      <c r="Q7" s="133"/>
      <c r="R7" s="133"/>
      <c r="S7" s="125"/>
      <c r="T7" s="133"/>
      <c r="U7" s="133"/>
      <c r="V7" s="133"/>
      <c r="W7" s="133"/>
      <c r="X7" s="133"/>
      <c r="Y7" s="133"/>
      <c r="Z7" s="133"/>
      <c r="AA7" s="122"/>
      <c r="AB7" s="122"/>
      <c r="AC7" s="122"/>
      <c r="AD7" s="122"/>
      <c r="AE7" s="122"/>
      <c r="AF7" s="122"/>
      <c r="AG7" s="122"/>
      <c r="AH7" s="122"/>
      <c r="AI7" s="122"/>
      <c r="AJ7" s="122"/>
      <c r="AK7" s="122"/>
      <c r="AL7" s="122"/>
      <c r="AM7" s="122"/>
      <c r="AN7" s="122"/>
      <c r="AO7" s="122"/>
    </row>
    <row r="8" spans="2:41">
      <c r="B8" s="9">
        <v>4</v>
      </c>
      <c r="C8" s="49" t="s">
        <v>204</v>
      </c>
      <c r="D8" s="89">
        <v>1</v>
      </c>
      <c r="E8" s="508" t="s">
        <v>1742</v>
      </c>
      <c r="F8" s="90">
        <v>327.25572697522205</v>
      </c>
      <c r="G8" s="91"/>
      <c r="H8" s="91"/>
      <c r="I8" s="91">
        <v>122.10012210012211</v>
      </c>
      <c r="J8" s="91">
        <v>122.10012210012211</v>
      </c>
      <c r="K8" s="91">
        <v>327.25572697522205</v>
      </c>
      <c r="L8" s="91">
        <v>327.25572697522205</v>
      </c>
      <c r="M8" s="91">
        <v>417.68779968034085</v>
      </c>
      <c r="N8" s="91">
        <v>313.34932054356511</v>
      </c>
      <c r="O8" s="91">
        <f t="shared" si="0"/>
        <v>313.34932054356511</v>
      </c>
      <c r="P8" s="91">
        <f t="shared" si="1"/>
        <v>313.34932054356511</v>
      </c>
      <c r="Q8" s="133"/>
      <c r="R8" s="133"/>
      <c r="S8" s="125"/>
      <c r="T8" s="133"/>
      <c r="U8" s="133"/>
      <c r="V8" s="133"/>
      <c r="W8" s="133"/>
      <c r="X8" s="133"/>
      <c r="Y8" s="133"/>
      <c r="Z8" s="133"/>
      <c r="AA8" s="122"/>
      <c r="AB8" s="122"/>
      <c r="AC8" s="122"/>
      <c r="AD8" s="122"/>
      <c r="AE8" s="122"/>
      <c r="AF8" s="122"/>
      <c r="AG8" s="122"/>
      <c r="AH8" s="122"/>
      <c r="AI8" s="122"/>
      <c r="AJ8" s="122"/>
      <c r="AK8" s="122"/>
      <c r="AL8" s="122"/>
      <c r="AM8" s="122"/>
      <c r="AN8" s="122"/>
      <c r="AO8" s="122"/>
    </row>
    <row r="9" spans="2:41">
      <c r="B9" s="9">
        <v>5</v>
      </c>
      <c r="C9" s="49" t="s">
        <v>205</v>
      </c>
      <c r="D9" s="89" t="s">
        <v>582</v>
      </c>
      <c r="E9" s="508" t="s">
        <v>1773</v>
      </c>
      <c r="F9" s="90">
        <v>356.76710752887811</v>
      </c>
      <c r="G9" s="91"/>
      <c r="H9" s="91"/>
      <c r="I9" s="91">
        <v>171.94583059675008</v>
      </c>
      <c r="J9" s="91">
        <v>223.0098363267094</v>
      </c>
      <c r="K9" s="91">
        <v>356.76710752887811</v>
      </c>
      <c r="L9" s="91">
        <v>356.76710752887811</v>
      </c>
      <c r="M9" s="91">
        <v>1654.881266490765</v>
      </c>
      <c r="N9" s="91">
        <v>1514.9758454106279</v>
      </c>
      <c r="O9" s="91">
        <f t="shared" si="0"/>
        <v>356.76710752887811</v>
      </c>
      <c r="P9" s="91">
        <f t="shared" si="1"/>
        <v>1514.9758454106279</v>
      </c>
      <c r="Q9" s="133"/>
      <c r="R9" s="133"/>
      <c r="S9" s="125"/>
      <c r="T9" s="133"/>
      <c r="U9" s="133"/>
      <c r="V9" s="133"/>
      <c r="W9" s="133"/>
      <c r="X9" s="133"/>
      <c r="Y9" s="133"/>
      <c r="Z9" s="133"/>
      <c r="AA9" s="122"/>
      <c r="AB9" s="122"/>
      <c r="AC9" s="122"/>
      <c r="AD9" s="122"/>
      <c r="AE9" s="122"/>
      <c r="AF9" s="122"/>
      <c r="AG9" s="122"/>
      <c r="AH9" s="122"/>
      <c r="AI9" s="122"/>
      <c r="AJ9" s="122"/>
      <c r="AK9" s="122"/>
      <c r="AL9" s="122"/>
      <c r="AM9" s="122"/>
      <c r="AN9" s="122"/>
      <c r="AO9" s="122"/>
    </row>
    <row r="10" spans="2:41">
      <c r="B10" s="9">
        <v>6</v>
      </c>
      <c r="C10" s="49" t="s">
        <v>206</v>
      </c>
      <c r="D10" s="89" t="s">
        <v>581</v>
      </c>
      <c r="E10" s="508" t="s">
        <v>1820</v>
      </c>
      <c r="F10" s="90">
        <v>52473.76311844078</v>
      </c>
      <c r="G10" s="91"/>
      <c r="H10" s="91"/>
      <c r="I10" s="91">
        <v>34072.379310344826</v>
      </c>
      <c r="J10" s="91">
        <v>34482.758620689652</v>
      </c>
      <c r="K10" s="91">
        <v>52473.76311844078</v>
      </c>
      <c r="L10" s="91">
        <v>52473.76311844078</v>
      </c>
      <c r="M10" s="91">
        <v>311111.11111111112</v>
      </c>
      <c r="N10" s="91">
        <v>311111.11111111112</v>
      </c>
      <c r="O10" s="91">
        <f t="shared" si="0"/>
        <v>52473.76311844078</v>
      </c>
      <c r="P10" s="91">
        <f t="shared" si="1"/>
        <v>311111.11111111112</v>
      </c>
      <c r="Q10" s="133"/>
      <c r="R10" s="133"/>
      <c r="S10" s="125"/>
      <c r="T10" s="133"/>
      <c r="U10" s="133"/>
      <c r="V10" s="133"/>
      <c r="W10" s="133"/>
      <c r="X10" s="133"/>
      <c r="Y10" s="133"/>
      <c r="Z10" s="133"/>
      <c r="AA10" s="122"/>
      <c r="AB10" s="122"/>
      <c r="AC10" s="122"/>
      <c r="AD10" s="122"/>
      <c r="AE10" s="122"/>
      <c r="AF10" s="122"/>
      <c r="AG10" s="122"/>
      <c r="AH10" s="122"/>
      <c r="AI10" s="122"/>
      <c r="AJ10" s="122"/>
      <c r="AK10" s="122"/>
      <c r="AL10" s="122"/>
      <c r="AM10" s="122"/>
      <c r="AN10" s="122"/>
      <c r="AO10" s="122"/>
    </row>
    <row r="11" spans="2:41">
      <c r="B11" s="9">
        <v>7</v>
      </c>
      <c r="C11" s="49" t="s">
        <v>207</v>
      </c>
      <c r="D11" s="89" t="s">
        <v>581</v>
      </c>
      <c r="E11" s="508" t="s">
        <v>1848</v>
      </c>
      <c r="F11" s="90">
        <v>8533.1166192604633</v>
      </c>
      <c r="G11" s="91"/>
      <c r="H11" s="91"/>
      <c r="I11" s="91">
        <v>2252.079123829491</v>
      </c>
      <c r="J11" s="91">
        <v>3084.8329048843184</v>
      </c>
      <c r="K11" s="91">
        <v>8533.1166192604633</v>
      </c>
      <c r="L11" s="91">
        <v>8533.1166192604633</v>
      </c>
      <c r="M11" s="91">
        <v>9307.4792243767297</v>
      </c>
      <c r="N11" s="91">
        <v>6913.5802469135797</v>
      </c>
      <c r="O11" s="91">
        <f t="shared" si="0"/>
        <v>6913.5802469135797</v>
      </c>
      <c r="P11" s="91">
        <f t="shared" si="1"/>
        <v>6913.5802469135797</v>
      </c>
      <c r="Q11" s="133"/>
      <c r="R11" s="133"/>
      <c r="S11" s="125"/>
      <c r="T11" s="133"/>
      <c r="U11" s="133"/>
      <c r="V11" s="133"/>
      <c r="W11" s="133"/>
      <c r="X11" s="133"/>
      <c r="Y11" s="133"/>
      <c r="Z11" s="133"/>
      <c r="AA11" s="122"/>
      <c r="AB11" s="122"/>
      <c r="AC11" s="122"/>
      <c r="AD11" s="122"/>
      <c r="AE11" s="122"/>
      <c r="AF11" s="122"/>
      <c r="AG11" s="122"/>
      <c r="AH11" s="122"/>
      <c r="AI11" s="122"/>
      <c r="AJ11" s="122"/>
      <c r="AK11" s="122"/>
      <c r="AL11" s="122"/>
      <c r="AM11" s="122"/>
      <c r="AN11" s="122"/>
      <c r="AO11" s="122"/>
    </row>
    <row r="12" spans="2:41">
      <c r="B12" s="9">
        <v>8</v>
      </c>
      <c r="C12" s="49" t="s">
        <v>208</v>
      </c>
      <c r="D12" s="89" t="s">
        <v>581</v>
      </c>
      <c r="E12" s="508" t="s">
        <v>1865</v>
      </c>
      <c r="F12" s="90">
        <v>1310.6906325408595</v>
      </c>
      <c r="G12" s="91"/>
      <c r="H12" s="91"/>
      <c r="I12" s="91">
        <v>8.7898803933687333</v>
      </c>
      <c r="J12" s="91">
        <v>859.96076429012919</v>
      </c>
      <c r="K12" s="91">
        <v>1310.6906325408595</v>
      </c>
      <c r="L12" s="91">
        <v>1310.6906325408595</v>
      </c>
      <c r="M12" s="91">
        <v>7705.3174716927051</v>
      </c>
      <c r="N12" s="91">
        <v>7677.8063410454151</v>
      </c>
      <c r="O12" s="91">
        <f t="shared" si="0"/>
        <v>1310.6906325408595</v>
      </c>
      <c r="P12" s="91">
        <f t="shared" si="1"/>
        <v>7677.8063410454151</v>
      </c>
      <c r="Q12" s="133"/>
      <c r="R12" s="133"/>
      <c r="S12" s="125"/>
      <c r="T12" s="133"/>
      <c r="U12" s="133"/>
      <c r="V12" s="133"/>
      <c r="W12" s="133"/>
      <c r="X12" s="133"/>
      <c r="Y12" s="133"/>
      <c r="Z12" s="133"/>
      <c r="AA12" s="122"/>
      <c r="AB12" s="122"/>
      <c r="AC12" s="122"/>
      <c r="AD12" s="122"/>
      <c r="AE12" s="122"/>
      <c r="AF12" s="122"/>
      <c r="AG12" s="122"/>
      <c r="AH12" s="122"/>
      <c r="AI12" s="122"/>
      <c r="AJ12" s="122"/>
      <c r="AK12" s="122"/>
      <c r="AL12" s="122"/>
      <c r="AM12" s="122"/>
      <c r="AN12" s="122"/>
      <c r="AO12" s="122"/>
    </row>
    <row r="13" spans="2:41">
      <c r="B13" s="9">
        <v>9</v>
      </c>
      <c r="C13" s="49" t="s">
        <v>209</v>
      </c>
      <c r="D13" s="89">
        <v>3</v>
      </c>
      <c r="E13" s="508" t="s">
        <v>1914</v>
      </c>
      <c r="F13" s="90">
        <v>1311.8440779610196</v>
      </c>
      <c r="G13" s="91"/>
      <c r="H13" s="91"/>
      <c r="I13" s="91">
        <v>48.192947773836408</v>
      </c>
      <c r="J13" s="91">
        <v>862.06896551724139</v>
      </c>
      <c r="K13" s="91">
        <v>1311.8440779610196</v>
      </c>
      <c r="L13" s="91">
        <v>1311.8440779610196</v>
      </c>
      <c r="M13" s="91">
        <v>7777.7777777777774</v>
      </c>
      <c r="N13" s="91">
        <v>7777.7777777777774</v>
      </c>
      <c r="O13" s="91">
        <f t="shared" si="0"/>
        <v>1311.8440779610196</v>
      </c>
      <c r="P13" s="91">
        <f t="shared" si="1"/>
        <v>7777.7777777777774</v>
      </c>
      <c r="Q13" s="133"/>
      <c r="R13" s="133"/>
      <c r="S13" s="125"/>
      <c r="T13" s="133"/>
      <c r="U13" s="133"/>
      <c r="V13" s="133"/>
      <c r="W13" s="133"/>
      <c r="X13" s="133"/>
      <c r="Y13" s="133"/>
      <c r="Z13" s="133"/>
      <c r="AA13" s="122"/>
      <c r="AB13" s="122"/>
      <c r="AC13" s="122"/>
      <c r="AD13" s="122"/>
      <c r="AE13" s="122"/>
      <c r="AF13" s="122"/>
      <c r="AG13" s="122"/>
      <c r="AH13" s="122"/>
      <c r="AI13" s="122"/>
      <c r="AJ13" s="122"/>
      <c r="AK13" s="122"/>
      <c r="AL13" s="122"/>
      <c r="AM13" s="122"/>
      <c r="AN13" s="122"/>
      <c r="AO13" s="122"/>
    </row>
    <row r="14" spans="2:41">
      <c r="B14" s="9">
        <v>10</v>
      </c>
      <c r="C14" s="49" t="s">
        <v>211</v>
      </c>
      <c r="D14" s="89" t="s">
        <v>581</v>
      </c>
      <c r="E14" s="508" t="s">
        <v>1933</v>
      </c>
      <c r="F14" s="90">
        <v>787106.44677661173</v>
      </c>
      <c r="G14" s="91"/>
      <c r="H14" s="91"/>
      <c r="I14" s="91">
        <v>248.59103296351958</v>
      </c>
      <c r="J14" s="91">
        <v>517241.37931034475</v>
      </c>
      <c r="K14" s="91">
        <v>787106.44677661173</v>
      </c>
      <c r="L14" s="91">
        <v>787106.44677661173</v>
      </c>
      <c r="M14" s="132">
        <v>1000000</v>
      </c>
      <c r="N14" s="132">
        <v>1000000</v>
      </c>
      <c r="O14" s="91">
        <f t="shared" si="0"/>
        <v>787106.44677661173</v>
      </c>
      <c r="P14" s="91">
        <f t="shared" si="1"/>
        <v>1000000</v>
      </c>
      <c r="Q14" s="133"/>
      <c r="R14" s="133"/>
      <c r="S14" s="125"/>
      <c r="T14" s="133"/>
      <c r="U14" s="133"/>
      <c r="V14" s="133"/>
      <c r="W14" s="133"/>
      <c r="X14" s="133"/>
      <c r="Y14" s="133"/>
      <c r="Z14" s="133"/>
      <c r="AA14" s="122"/>
      <c r="AB14" s="122"/>
      <c r="AC14" s="122"/>
      <c r="AD14" s="122"/>
      <c r="AE14" s="122"/>
      <c r="AF14" s="122"/>
      <c r="AG14" s="122"/>
      <c r="AH14" s="122"/>
      <c r="AI14" s="122"/>
      <c r="AJ14" s="122"/>
      <c r="AK14" s="122"/>
      <c r="AL14" s="122"/>
      <c r="AM14" s="122"/>
      <c r="AN14" s="122"/>
      <c r="AO14" s="122"/>
    </row>
    <row r="15" spans="2:41">
      <c r="B15" s="9">
        <v>11</v>
      </c>
      <c r="C15" s="49" t="s">
        <v>212</v>
      </c>
      <c r="D15" s="89" t="s">
        <v>581</v>
      </c>
      <c r="E15" s="508" t="s">
        <v>1937</v>
      </c>
      <c r="F15" s="90">
        <v>2317.2712108477717</v>
      </c>
      <c r="G15" s="91"/>
      <c r="H15" s="91"/>
      <c r="I15" s="91">
        <v>127.23937117690157</v>
      </c>
      <c r="J15" s="91">
        <v>1473.6885195570746</v>
      </c>
      <c r="K15" s="91">
        <v>2317.2712108477717</v>
      </c>
      <c r="L15" s="91">
        <v>2317.2712108477717</v>
      </c>
      <c r="M15" s="91">
        <v>11636.363636363636</v>
      </c>
      <c r="N15" s="91">
        <v>10926.829268292682</v>
      </c>
      <c r="O15" s="91">
        <f t="shared" si="0"/>
        <v>2317.2712108477717</v>
      </c>
      <c r="P15" s="91">
        <f t="shared" si="1"/>
        <v>10926.829268292682</v>
      </c>
      <c r="Q15" s="133"/>
      <c r="R15" s="133"/>
      <c r="S15" s="125"/>
      <c r="T15" s="133"/>
      <c r="U15" s="133"/>
      <c r="V15" s="133"/>
      <c r="W15" s="133"/>
      <c r="X15" s="133"/>
      <c r="Y15" s="133"/>
      <c r="Z15" s="133"/>
      <c r="AA15" s="122"/>
      <c r="AB15" s="122"/>
      <c r="AC15" s="122"/>
      <c r="AD15" s="122"/>
      <c r="AE15" s="122"/>
      <c r="AF15" s="122"/>
      <c r="AG15" s="122"/>
      <c r="AH15" s="122"/>
      <c r="AI15" s="122"/>
      <c r="AJ15" s="122"/>
      <c r="AK15" s="122"/>
      <c r="AL15" s="122"/>
      <c r="AM15" s="122"/>
      <c r="AN15" s="122"/>
      <c r="AO15" s="122"/>
    </row>
    <row r="16" spans="2:41">
      <c r="B16" s="9">
        <v>12</v>
      </c>
      <c r="C16" s="49" t="s">
        <v>346</v>
      </c>
      <c r="D16" s="89" t="s">
        <v>581</v>
      </c>
      <c r="E16" s="508" t="s">
        <v>1620</v>
      </c>
      <c r="F16" s="432">
        <v>86.61</v>
      </c>
      <c r="G16" s="534"/>
      <c r="H16" s="534"/>
      <c r="I16" s="533">
        <v>0.13</v>
      </c>
      <c r="J16" s="533">
        <v>0.18</v>
      </c>
      <c r="K16" s="533">
        <v>5.5</v>
      </c>
      <c r="L16" s="533">
        <v>4.0599999999999996</v>
      </c>
      <c r="M16" s="533">
        <v>1.2</v>
      </c>
      <c r="N16" s="533">
        <v>4.0999999999999996</v>
      </c>
      <c r="O16" s="435">
        <f t="shared" si="0"/>
        <v>1.2</v>
      </c>
      <c r="P16" s="435">
        <f t="shared" si="1"/>
        <v>1.2</v>
      </c>
      <c r="Q16" s="133"/>
      <c r="R16" s="133"/>
      <c r="S16" s="125"/>
      <c r="T16" s="133"/>
      <c r="U16" s="133"/>
      <c r="V16" s="133"/>
      <c r="W16" s="133"/>
      <c r="X16" s="133"/>
      <c r="Y16" s="133"/>
      <c r="Z16" s="133"/>
      <c r="AA16" s="122"/>
      <c r="AB16" s="122"/>
      <c r="AC16" s="122"/>
      <c r="AD16" s="122"/>
      <c r="AE16" s="122"/>
      <c r="AF16" s="122"/>
      <c r="AG16" s="122"/>
      <c r="AH16" s="122"/>
      <c r="AI16" s="122"/>
      <c r="AJ16" s="122"/>
      <c r="AK16" s="122"/>
      <c r="AL16" s="122"/>
      <c r="AM16" s="122"/>
      <c r="AN16" s="122"/>
      <c r="AO16" s="122"/>
    </row>
    <row r="17" spans="2:41">
      <c r="B17" s="9">
        <v>13</v>
      </c>
      <c r="C17" s="136" t="s">
        <v>517</v>
      </c>
      <c r="D17" s="89">
        <v>1</v>
      </c>
      <c r="E17" s="508" t="s">
        <v>1893</v>
      </c>
      <c r="F17" s="137">
        <v>2.292976098775108</v>
      </c>
      <c r="G17" s="138"/>
      <c r="H17" s="138"/>
      <c r="I17" s="92">
        <v>0.24</v>
      </c>
      <c r="J17" s="92">
        <v>1.5</v>
      </c>
      <c r="K17" s="139">
        <v>1.9708711540172672</v>
      </c>
      <c r="L17" s="140">
        <v>2.292976098775108</v>
      </c>
      <c r="M17" s="140">
        <v>11.287458760941648</v>
      </c>
      <c r="N17" s="140">
        <v>8.938334094015369</v>
      </c>
      <c r="O17" s="91">
        <f>MIN(K17,L17,M17,N17)</f>
        <v>1.9708711540172672</v>
      </c>
      <c r="P17" s="91">
        <f t="shared" si="1"/>
        <v>8.938334094015369</v>
      </c>
      <c r="Q17" s="133"/>
      <c r="R17" s="133"/>
      <c r="S17" s="125"/>
      <c r="T17" s="133"/>
      <c r="U17" s="133"/>
      <c r="V17" s="133"/>
      <c r="W17" s="133"/>
      <c r="X17" s="133"/>
      <c r="Y17" s="133"/>
      <c r="Z17" s="133"/>
      <c r="AA17" s="122"/>
      <c r="AB17" s="122"/>
      <c r="AC17" s="122"/>
      <c r="AD17" s="122"/>
      <c r="AE17" s="122"/>
      <c r="AF17" s="122"/>
      <c r="AG17" s="122"/>
      <c r="AH17" s="122"/>
      <c r="AI17" s="122"/>
      <c r="AJ17" s="122"/>
      <c r="AK17" s="122"/>
      <c r="AL17" s="122"/>
      <c r="AM17" s="122"/>
      <c r="AN17" s="122"/>
      <c r="AO17" s="122"/>
    </row>
    <row r="18" spans="2:41">
      <c r="B18" s="9">
        <v>14</v>
      </c>
      <c r="C18" s="49" t="s">
        <v>67</v>
      </c>
      <c r="D18" s="89" t="s">
        <v>581</v>
      </c>
      <c r="E18" s="508" t="s">
        <v>1765</v>
      </c>
      <c r="F18" s="435">
        <v>76.740150779816702</v>
      </c>
      <c r="G18" s="435"/>
      <c r="H18" s="435"/>
      <c r="I18" s="435">
        <v>1.9927901292363865</v>
      </c>
      <c r="J18" s="435">
        <v>23.217794711490196</v>
      </c>
      <c r="K18" s="435">
        <v>27.370766179745321</v>
      </c>
      <c r="L18" s="435">
        <v>76.740150779816702</v>
      </c>
      <c r="M18" s="435">
        <v>68.367053758551492</v>
      </c>
      <c r="N18" s="435">
        <v>86.923051083846687</v>
      </c>
      <c r="O18" s="435">
        <f>MIN(K18,L18,M18,N18)</f>
        <v>27.370766179745321</v>
      </c>
      <c r="P18" s="435">
        <f t="shared" si="1"/>
        <v>68.367053758551492</v>
      </c>
      <c r="Q18" s="133"/>
      <c r="R18" s="133"/>
      <c r="S18" s="125"/>
      <c r="T18" s="133"/>
      <c r="U18" s="133"/>
      <c r="V18" s="133"/>
      <c r="W18" s="133"/>
      <c r="X18" s="133"/>
      <c r="Y18" s="133"/>
      <c r="Z18" s="133"/>
      <c r="AA18" s="122"/>
      <c r="AB18" s="122"/>
      <c r="AC18" s="122"/>
      <c r="AD18" s="122"/>
      <c r="AE18" s="122"/>
      <c r="AF18" s="122"/>
      <c r="AG18" s="122"/>
      <c r="AH18" s="122"/>
      <c r="AI18" s="122"/>
      <c r="AJ18" s="122"/>
      <c r="AK18" s="122"/>
      <c r="AL18" s="122"/>
      <c r="AM18" s="122"/>
      <c r="AN18" s="122"/>
      <c r="AO18" s="122"/>
    </row>
    <row r="19" spans="2:41" ht="16.899999999999999" customHeight="1">
      <c r="B19" s="9">
        <v>15</v>
      </c>
      <c r="C19" s="49" t="s">
        <v>72</v>
      </c>
      <c r="D19" s="89">
        <v>3</v>
      </c>
      <c r="E19" s="508" t="s">
        <v>1632</v>
      </c>
      <c r="F19" s="435">
        <v>11444.746301870167</v>
      </c>
      <c r="G19" s="435"/>
      <c r="H19" s="435"/>
      <c r="I19" s="435">
        <v>9.7555378690679326</v>
      </c>
      <c r="J19" s="435">
        <v>210.23461353419989</v>
      </c>
      <c r="K19" s="435">
        <v>282.91816156700673</v>
      </c>
      <c r="L19" s="435">
        <v>11444.746301870167</v>
      </c>
      <c r="M19" s="435">
        <v>11246.941482159387</v>
      </c>
      <c r="N19" s="435">
        <v>34406.818303919157</v>
      </c>
      <c r="O19" s="435">
        <f>MIN(K19,L19,M19,N19)</f>
        <v>282.91816156700673</v>
      </c>
      <c r="P19" s="435">
        <f t="shared" si="1"/>
        <v>11246.941482159387</v>
      </c>
      <c r="Q19" s="133"/>
      <c r="R19" s="133"/>
      <c r="S19" s="125"/>
      <c r="T19" s="133"/>
      <c r="U19" s="133"/>
      <c r="V19" s="133"/>
      <c r="W19" s="133"/>
      <c r="X19" s="133"/>
      <c r="Y19" s="133"/>
      <c r="Z19" s="133"/>
      <c r="AA19" s="122"/>
      <c r="AB19" s="122"/>
      <c r="AC19" s="122"/>
      <c r="AD19" s="122"/>
      <c r="AE19" s="122"/>
      <c r="AF19" s="122"/>
      <c r="AG19" s="122"/>
      <c r="AH19" s="122"/>
      <c r="AI19" s="122"/>
      <c r="AJ19" s="122"/>
      <c r="AK19" s="122"/>
      <c r="AL19" s="122"/>
      <c r="AM19" s="122"/>
      <c r="AN19" s="122"/>
      <c r="AO19" s="122"/>
    </row>
    <row r="20" spans="2:41" ht="16.899999999999999" customHeight="1">
      <c r="B20" s="9">
        <v>16</v>
      </c>
      <c r="C20" s="49" t="s">
        <v>73</v>
      </c>
      <c r="D20" s="89">
        <v>3</v>
      </c>
      <c r="E20" s="508" t="s">
        <v>1636</v>
      </c>
      <c r="F20" s="435"/>
      <c r="G20" s="435"/>
      <c r="H20" s="435"/>
      <c r="I20" s="435"/>
      <c r="J20" s="435"/>
      <c r="K20" s="435"/>
      <c r="L20" s="435"/>
      <c r="M20" s="435"/>
      <c r="N20" s="435"/>
      <c r="O20" s="435"/>
      <c r="P20" s="435"/>
      <c r="Q20" s="133"/>
      <c r="R20" s="133"/>
      <c r="S20" s="125"/>
      <c r="T20" s="133"/>
      <c r="U20" s="133"/>
      <c r="V20" s="133"/>
      <c r="W20" s="133"/>
      <c r="X20" s="133"/>
      <c r="Y20" s="133"/>
      <c r="Z20" s="133"/>
      <c r="AA20" s="122"/>
      <c r="AB20" s="122"/>
      <c r="AC20" s="122"/>
      <c r="AD20" s="122"/>
      <c r="AE20" s="122"/>
      <c r="AF20" s="122"/>
      <c r="AG20" s="122"/>
      <c r="AH20" s="122"/>
      <c r="AI20" s="122"/>
      <c r="AJ20" s="122"/>
      <c r="AK20" s="122"/>
      <c r="AL20" s="122"/>
      <c r="AM20" s="122"/>
      <c r="AN20" s="122"/>
      <c r="AO20" s="122"/>
    </row>
    <row r="21" spans="2:41" ht="16.899999999999999" customHeight="1">
      <c r="B21" s="9">
        <v>17</v>
      </c>
      <c r="C21" s="49" t="s">
        <v>74</v>
      </c>
      <c r="D21" s="89" t="s">
        <v>582</v>
      </c>
      <c r="E21" s="508" t="s">
        <v>1637</v>
      </c>
      <c r="F21" s="433">
        <v>10.252448626841929</v>
      </c>
      <c r="G21" s="433"/>
      <c r="H21" s="433"/>
      <c r="I21" s="433">
        <v>9.3598734041801648E-2</v>
      </c>
      <c r="J21" s="433">
        <v>0.53403053823044888</v>
      </c>
      <c r="K21" s="433">
        <v>2.0125133204619421</v>
      </c>
      <c r="L21" s="433">
        <v>10.252448626841929</v>
      </c>
      <c r="M21" s="433">
        <v>2.5387276904593792</v>
      </c>
      <c r="N21" s="433">
        <v>4.5384521745133988</v>
      </c>
      <c r="O21" s="435">
        <f t="shared" ref="O21:O33" si="2">MIN(K21,L21,M21,N21)</f>
        <v>2.0125133204619421</v>
      </c>
      <c r="P21" s="435">
        <f t="shared" si="1"/>
        <v>2.5387276904593792</v>
      </c>
      <c r="Q21" s="133"/>
      <c r="R21" s="133"/>
      <c r="S21" s="125"/>
      <c r="T21" s="133"/>
      <c r="U21" s="133"/>
      <c r="V21" s="133"/>
      <c r="W21" s="133"/>
      <c r="X21" s="133"/>
      <c r="Y21" s="133"/>
      <c r="Z21" s="133"/>
      <c r="AA21" s="122"/>
      <c r="AB21" s="122"/>
      <c r="AC21" s="122"/>
      <c r="AD21" s="122"/>
      <c r="AE21" s="122"/>
      <c r="AF21" s="122"/>
      <c r="AG21" s="122"/>
      <c r="AH21" s="122"/>
      <c r="AI21" s="122"/>
      <c r="AJ21" s="122"/>
      <c r="AK21" s="122"/>
      <c r="AL21" s="122"/>
      <c r="AM21" s="122"/>
      <c r="AN21" s="122"/>
      <c r="AO21" s="122"/>
    </row>
    <row r="22" spans="2:41">
      <c r="B22" s="9">
        <v>18</v>
      </c>
      <c r="C22" s="49" t="s">
        <v>86</v>
      </c>
      <c r="D22" s="89" t="s">
        <v>581</v>
      </c>
      <c r="E22" s="508" t="s">
        <v>1624</v>
      </c>
      <c r="F22" s="96">
        <v>126.90897660362084</v>
      </c>
      <c r="G22" s="96"/>
      <c r="H22" s="96"/>
      <c r="I22" s="96">
        <v>0.27782633254375372</v>
      </c>
      <c r="J22" s="96">
        <v>30.157571186343894</v>
      </c>
      <c r="K22" s="96">
        <v>21.690587696681281</v>
      </c>
      <c r="L22" s="96">
        <v>126.90897660362084</v>
      </c>
      <c r="M22" s="96">
        <v>86.756843115663557</v>
      </c>
      <c r="N22" s="96">
        <v>92.13212521888029</v>
      </c>
      <c r="O22" s="91">
        <f t="shared" si="2"/>
        <v>21.690587696681281</v>
      </c>
      <c r="P22" s="91">
        <f t="shared" si="1"/>
        <v>86.756843115663557</v>
      </c>
      <c r="Q22" s="133"/>
      <c r="R22" s="133"/>
      <c r="S22" s="125"/>
      <c r="T22" s="133"/>
      <c r="U22" s="133"/>
      <c r="V22" s="133"/>
      <c r="W22" s="133"/>
      <c r="X22" s="133"/>
      <c r="Y22" s="133"/>
      <c r="Z22" s="133"/>
      <c r="AA22" s="122"/>
      <c r="AB22" s="122"/>
      <c r="AC22" s="122"/>
      <c r="AD22" s="122"/>
      <c r="AE22" s="122"/>
      <c r="AF22" s="122"/>
      <c r="AG22" s="122"/>
      <c r="AH22" s="122"/>
      <c r="AI22" s="122"/>
      <c r="AJ22" s="122"/>
      <c r="AK22" s="122"/>
      <c r="AL22" s="122"/>
      <c r="AM22" s="122"/>
      <c r="AN22" s="122"/>
      <c r="AO22" s="122"/>
    </row>
    <row r="23" spans="2:41">
      <c r="B23" s="9">
        <v>19</v>
      </c>
      <c r="C23" s="49" t="s">
        <v>87</v>
      </c>
      <c r="D23" s="89" t="s">
        <v>581</v>
      </c>
      <c r="E23" s="508" t="s">
        <v>1625</v>
      </c>
      <c r="F23" s="433">
        <v>128.63373841076694</v>
      </c>
      <c r="G23" s="433"/>
      <c r="H23" s="433"/>
      <c r="I23" s="433">
        <v>0.30645808141444036</v>
      </c>
      <c r="J23" s="433">
        <v>13.061481268495797</v>
      </c>
      <c r="K23" s="433">
        <v>22.986240622065448</v>
      </c>
      <c r="L23" s="433">
        <v>128.63373841076694</v>
      </c>
      <c r="M23" s="433">
        <v>46.258626773888167</v>
      </c>
      <c r="N23" s="433">
        <v>75.510766415049602</v>
      </c>
      <c r="O23" s="435">
        <f t="shared" si="2"/>
        <v>22.986240622065448</v>
      </c>
      <c r="P23" s="435">
        <f t="shared" si="1"/>
        <v>46.258626773888167</v>
      </c>
      <c r="Q23" s="133"/>
      <c r="R23" s="133"/>
      <c r="S23" s="125"/>
      <c r="T23" s="133"/>
      <c r="U23" s="133"/>
      <c r="V23" s="133"/>
      <c r="W23" s="133"/>
      <c r="X23" s="133"/>
      <c r="Y23" s="133"/>
      <c r="Z23" s="133"/>
      <c r="AA23" s="122"/>
      <c r="AB23" s="122"/>
      <c r="AC23" s="122"/>
      <c r="AD23" s="122"/>
      <c r="AE23" s="122"/>
      <c r="AF23" s="122"/>
      <c r="AG23" s="122"/>
      <c r="AH23" s="122"/>
      <c r="AI23" s="122"/>
      <c r="AJ23" s="122"/>
      <c r="AK23" s="122"/>
      <c r="AL23" s="122"/>
      <c r="AM23" s="122"/>
      <c r="AN23" s="122"/>
      <c r="AO23" s="122"/>
    </row>
    <row r="24" spans="2:41">
      <c r="B24" s="9">
        <v>20</v>
      </c>
      <c r="C24" s="49" t="s">
        <v>88</v>
      </c>
      <c r="D24" s="89" t="s">
        <v>581</v>
      </c>
      <c r="E24" s="508" t="s">
        <v>1633</v>
      </c>
      <c r="F24" s="91">
        <v>147.84931461056794</v>
      </c>
      <c r="G24" s="91"/>
      <c r="H24" s="91"/>
      <c r="I24" s="91">
        <v>0.40377287980398902</v>
      </c>
      <c r="J24" s="91">
        <v>5.3179662306540658</v>
      </c>
      <c r="K24" s="91">
        <v>27.052944560578638</v>
      </c>
      <c r="L24" s="91">
        <v>147.84931461056794</v>
      </c>
      <c r="M24" s="91">
        <v>21.255426013982952</v>
      </c>
      <c r="N24" s="91">
        <v>52.683954909324463</v>
      </c>
      <c r="O24" s="91">
        <f t="shared" si="2"/>
        <v>21.255426013982952</v>
      </c>
      <c r="P24" s="91">
        <f t="shared" si="1"/>
        <v>21.255426013982952</v>
      </c>
      <c r="Q24" s="133"/>
      <c r="R24" s="133"/>
      <c r="S24" s="125"/>
      <c r="T24" s="133"/>
      <c r="U24" s="133"/>
      <c r="V24" s="133"/>
      <c r="W24" s="133"/>
      <c r="X24" s="133"/>
      <c r="Y24" s="133"/>
      <c r="Z24" s="133"/>
      <c r="AA24" s="122"/>
      <c r="AB24" s="122"/>
      <c r="AC24" s="122"/>
      <c r="AD24" s="122"/>
      <c r="AE24" s="122"/>
      <c r="AF24" s="122"/>
      <c r="AG24" s="122"/>
      <c r="AH24" s="122"/>
      <c r="AI24" s="122"/>
      <c r="AJ24" s="122"/>
      <c r="AK24" s="122"/>
      <c r="AL24" s="122"/>
      <c r="AM24" s="122"/>
      <c r="AN24" s="122"/>
      <c r="AO24" s="122"/>
    </row>
    <row r="25" spans="2:41">
      <c r="B25" s="9">
        <v>21</v>
      </c>
      <c r="C25" s="49" t="s">
        <v>116</v>
      </c>
      <c r="D25" s="89" t="s">
        <v>581</v>
      </c>
      <c r="E25" s="508" t="s">
        <v>1622</v>
      </c>
      <c r="F25" s="435">
        <v>719.08650324793223</v>
      </c>
      <c r="G25" s="435"/>
      <c r="H25" s="435"/>
      <c r="I25" s="435">
        <v>0.65534271268653088</v>
      </c>
      <c r="J25" s="435">
        <v>264.79098784237266</v>
      </c>
      <c r="K25" s="435">
        <v>94.331133600684552</v>
      </c>
      <c r="L25" s="435">
        <v>719.08650324793223</v>
      </c>
      <c r="M25" s="435">
        <v>3868.6495833624222</v>
      </c>
      <c r="N25" s="435">
        <v>2866.9930424200111</v>
      </c>
      <c r="O25" s="435">
        <f t="shared" si="2"/>
        <v>94.331133600684552</v>
      </c>
      <c r="P25" s="435">
        <f t="shared" si="1"/>
        <v>2866.9930424200111</v>
      </c>
      <c r="Q25" s="133"/>
      <c r="R25" s="133"/>
      <c r="S25" s="125"/>
      <c r="T25" s="133"/>
      <c r="U25" s="133"/>
      <c r="V25" s="133"/>
      <c r="W25" s="133"/>
      <c r="X25" s="133"/>
      <c r="Y25" s="133"/>
      <c r="Z25" s="133"/>
      <c r="AA25" s="122"/>
      <c r="AB25" s="122"/>
      <c r="AC25" s="122"/>
      <c r="AD25" s="122"/>
      <c r="AE25" s="122"/>
      <c r="AF25" s="122"/>
      <c r="AG25" s="122"/>
      <c r="AH25" s="122"/>
      <c r="AI25" s="122"/>
      <c r="AJ25" s="122"/>
      <c r="AK25" s="122"/>
      <c r="AL25" s="122"/>
      <c r="AM25" s="122"/>
      <c r="AN25" s="122"/>
      <c r="AO25" s="122"/>
    </row>
    <row r="26" spans="2:41">
      <c r="B26" s="9">
        <v>22</v>
      </c>
      <c r="C26" s="49" t="s">
        <v>117</v>
      </c>
      <c r="D26" s="89" t="s">
        <v>581</v>
      </c>
      <c r="E26" s="508" t="s">
        <v>1627</v>
      </c>
      <c r="F26" s="91">
        <v>37.608622134434668</v>
      </c>
      <c r="G26" s="141"/>
      <c r="H26" s="141"/>
      <c r="I26" s="141">
        <v>1.4490957168462656E-2</v>
      </c>
      <c r="J26" s="91">
        <v>3.668696596300046</v>
      </c>
      <c r="K26" s="91">
        <v>2.1722360715247473</v>
      </c>
      <c r="L26" s="91">
        <v>37.608622134434668</v>
      </c>
      <c r="M26" s="91">
        <v>148.79163803926141</v>
      </c>
      <c r="N26" s="91">
        <v>110.26705361566367</v>
      </c>
      <c r="O26" s="91">
        <f t="shared" si="2"/>
        <v>2.1722360715247473</v>
      </c>
      <c r="P26" s="91">
        <f t="shared" si="1"/>
        <v>110.26705361566367</v>
      </c>
      <c r="Q26" s="133"/>
      <c r="R26" s="142"/>
      <c r="S26" s="142"/>
      <c r="T26" s="142"/>
      <c r="U26" s="133"/>
      <c r="V26" s="133"/>
      <c r="W26" s="133"/>
      <c r="X26" s="133"/>
      <c r="Y26" s="133"/>
      <c r="Z26" s="133"/>
      <c r="AA26" s="122"/>
      <c r="AB26" s="122"/>
      <c r="AC26" s="122"/>
      <c r="AD26" s="122"/>
      <c r="AE26" s="122"/>
      <c r="AF26" s="122"/>
      <c r="AG26" s="122"/>
      <c r="AH26" s="122"/>
      <c r="AI26" s="122"/>
      <c r="AJ26" s="122"/>
      <c r="AK26" s="122"/>
      <c r="AL26" s="122"/>
      <c r="AM26" s="122"/>
      <c r="AN26" s="122"/>
      <c r="AO26" s="122"/>
    </row>
    <row r="27" spans="2:41">
      <c r="B27" s="9">
        <v>23</v>
      </c>
      <c r="C27" s="49" t="s">
        <v>118</v>
      </c>
      <c r="D27" s="89" t="s">
        <v>581</v>
      </c>
      <c r="E27" s="508" t="s">
        <v>1895</v>
      </c>
      <c r="F27" s="435">
        <v>177.80583253919704</v>
      </c>
      <c r="G27" s="435"/>
      <c r="H27" s="435"/>
      <c r="I27" s="435">
        <v>0.3320707386275138</v>
      </c>
      <c r="J27" s="435">
        <v>97.215049104057073</v>
      </c>
      <c r="K27" s="435">
        <v>105.91196301318126</v>
      </c>
      <c r="L27" s="435">
        <v>177.80583253919704</v>
      </c>
      <c r="M27" s="435">
        <v>1039.1276501872128</v>
      </c>
      <c r="N27" s="435">
        <v>770.08053561771737</v>
      </c>
      <c r="O27" s="435">
        <f t="shared" si="2"/>
        <v>105.91196301318126</v>
      </c>
      <c r="P27" s="435">
        <f t="shared" si="1"/>
        <v>770.08053561771737</v>
      </c>
      <c r="Q27" s="133"/>
      <c r="R27" s="133"/>
      <c r="S27" s="125"/>
      <c r="T27" s="133"/>
      <c r="U27" s="133"/>
      <c r="V27" s="133"/>
      <c r="W27" s="133"/>
      <c r="X27" s="133"/>
      <c r="Y27" s="133"/>
      <c r="Z27" s="133"/>
      <c r="AA27" s="122"/>
      <c r="AB27" s="122"/>
      <c r="AC27" s="122"/>
      <c r="AD27" s="122"/>
      <c r="AE27" s="122"/>
      <c r="AF27" s="122"/>
      <c r="AG27" s="122"/>
      <c r="AH27" s="122"/>
      <c r="AI27" s="122"/>
      <c r="AJ27" s="122"/>
      <c r="AK27" s="122"/>
      <c r="AL27" s="122"/>
      <c r="AM27" s="122"/>
      <c r="AN27" s="122"/>
      <c r="AO27" s="122"/>
    </row>
    <row r="28" spans="2:41">
      <c r="B28" s="9">
        <v>24</v>
      </c>
      <c r="C28" s="49" t="s">
        <v>119</v>
      </c>
      <c r="D28" s="89" t="s">
        <v>582</v>
      </c>
      <c r="E28" s="510" t="s">
        <v>1833</v>
      </c>
      <c r="F28" s="435">
        <v>4.3721722582391678</v>
      </c>
      <c r="G28" s="430"/>
      <c r="H28" s="430"/>
      <c r="I28" s="430">
        <v>1.4325919574231919E-3</v>
      </c>
      <c r="J28" s="435">
        <v>0.74422317870125643</v>
      </c>
      <c r="K28" s="435">
        <v>0.94348421373376523</v>
      </c>
      <c r="L28" s="435">
        <v>4.3721722582391678</v>
      </c>
      <c r="M28" s="435">
        <v>8.1220134156425594</v>
      </c>
      <c r="N28" s="435">
        <v>6.5648626620547468</v>
      </c>
      <c r="O28" s="435">
        <f t="shared" si="2"/>
        <v>0.94348421373376523</v>
      </c>
      <c r="P28" s="435">
        <f t="shared" si="1"/>
        <v>6.5648626620547468</v>
      </c>
      <c r="Q28" s="142"/>
      <c r="R28" s="142"/>
      <c r="S28" s="142"/>
      <c r="T28" s="142"/>
      <c r="U28" s="142"/>
      <c r="V28" s="133"/>
      <c r="W28" s="133"/>
      <c r="X28" s="133"/>
      <c r="Y28" s="133"/>
      <c r="Z28" s="133"/>
      <c r="AA28" s="122"/>
      <c r="AB28" s="122"/>
      <c r="AC28" s="122"/>
      <c r="AD28" s="122"/>
      <c r="AE28" s="122"/>
      <c r="AF28" s="122"/>
      <c r="AG28" s="122"/>
      <c r="AH28" s="122"/>
      <c r="AI28" s="122"/>
      <c r="AJ28" s="122"/>
      <c r="AK28" s="122"/>
      <c r="AL28" s="122"/>
      <c r="AM28" s="122"/>
      <c r="AN28" s="122"/>
      <c r="AO28" s="122"/>
    </row>
    <row r="29" spans="2:41">
      <c r="B29" s="9">
        <v>25</v>
      </c>
      <c r="C29" s="49" t="s">
        <v>89</v>
      </c>
      <c r="D29" s="89" t="s">
        <v>581</v>
      </c>
      <c r="E29" s="508" t="s">
        <v>1776</v>
      </c>
      <c r="F29" s="91">
        <v>143.91353377346061</v>
      </c>
      <c r="G29" s="91"/>
      <c r="H29" s="91"/>
      <c r="I29" s="91">
        <v>3.0157106254844033</v>
      </c>
      <c r="J29" s="91">
        <v>71.604163938232048</v>
      </c>
      <c r="K29" s="91">
        <v>106.69679174687339</v>
      </c>
      <c r="L29" s="91">
        <v>143.9090743189488</v>
      </c>
      <c r="M29" s="91">
        <v>208.78403886473112</v>
      </c>
      <c r="N29" s="91">
        <v>261.38105461487788</v>
      </c>
      <c r="O29" s="91">
        <f t="shared" si="2"/>
        <v>106.69679174687339</v>
      </c>
      <c r="P29" s="91">
        <f t="shared" si="1"/>
        <v>208.78403886473112</v>
      </c>
      <c r="Q29" s="133"/>
      <c r="R29" s="133"/>
      <c r="S29" s="125"/>
      <c r="T29" s="133"/>
      <c r="U29" s="133"/>
      <c r="V29" s="133"/>
      <c r="W29" s="133"/>
      <c r="X29" s="133"/>
      <c r="Y29" s="133"/>
      <c r="Z29" s="133"/>
      <c r="AA29" s="122"/>
      <c r="AB29" s="122"/>
      <c r="AC29" s="122"/>
      <c r="AD29" s="122"/>
      <c r="AE29" s="122"/>
      <c r="AF29" s="122"/>
      <c r="AG29" s="122"/>
      <c r="AH29" s="122"/>
      <c r="AI29" s="122"/>
      <c r="AJ29" s="122"/>
      <c r="AK29" s="122"/>
      <c r="AL29" s="122"/>
      <c r="AM29" s="122"/>
      <c r="AN29" s="122"/>
      <c r="AO29" s="122"/>
    </row>
    <row r="30" spans="2:41">
      <c r="B30" s="9">
        <v>26</v>
      </c>
      <c r="C30" s="49" t="s">
        <v>90</v>
      </c>
      <c r="D30" s="89" t="s">
        <v>581</v>
      </c>
      <c r="E30" s="508" t="s">
        <v>1775</v>
      </c>
      <c r="F30" s="91">
        <v>157.68387330568584</v>
      </c>
      <c r="G30" s="91"/>
      <c r="H30" s="91"/>
      <c r="I30" s="91">
        <v>3.3085100059707715</v>
      </c>
      <c r="J30" s="91">
        <v>78.631477122365027</v>
      </c>
      <c r="K30" s="91">
        <v>116.98625882150668</v>
      </c>
      <c r="L30" s="91">
        <v>157.67523256813337</v>
      </c>
      <c r="M30" s="91">
        <v>229.30192152958026</v>
      </c>
      <c r="N30" s="91">
        <v>286.78374138533718</v>
      </c>
      <c r="O30" s="91">
        <f t="shared" si="2"/>
        <v>116.98625882150668</v>
      </c>
      <c r="P30" s="91">
        <f t="shared" si="1"/>
        <v>229.30192152958026</v>
      </c>
      <c r="Q30" s="133"/>
      <c r="R30" s="133"/>
      <c r="S30" s="125"/>
      <c r="T30" s="133"/>
      <c r="U30" s="133"/>
      <c r="V30" s="133"/>
      <c r="W30" s="133"/>
      <c r="X30" s="133"/>
      <c r="Y30" s="133"/>
      <c r="Z30" s="133"/>
      <c r="AA30" s="122"/>
      <c r="AB30" s="122"/>
      <c r="AC30" s="122"/>
      <c r="AD30" s="122"/>
      <c r="AE30" s="122"/>
      <c r="AF30" s="122"/>
      <c r="AG30" s="122"/>
      <c r="AH30" s="122"/>
      <c r="AI30" s="122"/>
      <c r="AJ30" s="122"/>
      <c r="AK30" s="122"/>
      <c r="AL30" s="122"/>
      <c r="AM30" s="122"/>
      <c r="AN30" s="122"/>
      <c r="AO30" s="122"/>
    </row>
    <row r="31" spans="2:41">
      <c r="B31" s="9">
        <v>27</v>
      </c>
      <c r="C31" s="49" t="s">
        <v>91</v>
      </c>
      <c r="D31" s="89" t="s">
        <v>581</v>
      </c>
      <c r="E31" s="508" t="s">
        <v>1774</v>
      </c>
      <c r="F31" s="91">
        <v>422.64640339980201</v>
      </c>
      <c r="G31" s="91"/>
      <c r="H31" s="91"/>
      <c r="I31" s="91">
        <v>9.1493272197136903</v>
      </c>
      <c r="J31" s="91">
        <v>212.16166415090552</v>
      </c>
      <c r="K31" s="91">
        <v>317.02461816239077</v>
      </c>
      <c r="L31" s="91">
        <v>422.6267197314944</v>
      </c>
      <c r="M31" s="91">
        <v>626.24863638748423</v>
      </c>
      <c r="N31" s="91">
        <v>781.13274540118834</v>
      </c>
      <c r="O31" s="91">
        <f t="shared" si="2"/>
        <v>317.02461816239077</v>
      </c>
      <c r="P31" s="91">
        <f t="shared" si="1"/>
        <v>626.24863638748423</v>
      </c>
      <c r="Q31" s="133"/>
      <c r="R31" s="133"/>
      <c r="S31" s="125"/>
      <c r="T31" s="133"/>
      <c r="U31" s="133"/>
      <c r="V31" s="133"/>
      <c r="W31" s="133"/>
      <c r="X31" s="133"/>
      <c r="Y31" s="133"/>
      <c r="Z31" s="133"/>
      <c r="AA31" s="122"/>
      <c r="AB31" s="122"/>
      <c r="AC31" s="122"/>
      <c r="AD31" s="122"/>
      <c r="AE31" s="122"/>
      <c r="AF31" s="122"/>
      <c r="AG31" s="122"/>
      <c r="AH31" s="122"/>
      <c r="AI31" s="122"/>
      <c r="AJ31" s="122"/>
      <c r="AK31" s="122"/>
      <c r="AL31" s="122"/>
      <c r="AM31" s="122"/>
      <c r="AN31" s="122"/>
      <c r="AO31" s="122"/>
    </row>
    <row r="32" spans="2:41" ht="30.6" customHeight="1">
      <c r="B32" s="9">
        <v>28</v>
      </c>
      <c r="C32" s="136" t="s">
        <v>348</v>
      </c>
      <c r="D32" s="89" t="s">
        <v>581</v>
      </c>
      <c r="E32" s="510" t="s">
        <v>1919</v>
      </c>
      <c r="F32" s="143">
        <v>212.46563620291769</v>
      </c>
      <c r="G32" s="143"/>
      <c r="H32" s="143"/>
      <c r="I32" s="143">
        <v>4.5026731880205668</v>
      </c>
      <c r="J32" s="143">
        <v>106.10451759917115</v>
      </c>
      <c r="K32" s="143">
        <v>158.17083253332001</v>
      </c>
      <c r="L32" s="143">
        <v>212.45626239859931</v>
      </c>
      <c r="M32" s="143">
        <v>310.65899097481326</v>
      </c>
      <c r="N32" s="143">
        <v>388.31529065313794</v>
      </c>
      <c r="O32" s="143">
        <f t="shared" si="2"/>
        <v>158.17083253332001</v>
      </c>
      <c r="P32" s="143">
        <f t="shared" si="1"/>
        <v>310.65899097481326</v>
      </c>
      <c r="Q32" s="133"/>
      <c r="R32" s="133"/>
      <c r="S32" s="125"/>
      <c r="T32" s="133"/>
      <c r="U32" s="133"/>
      <c r="V32" s="133"/>
      <c r="W32" s="133"/>
      <c r="X32" s="133"/>
      <c r="Y32" s="133"/>
      <c r="Z32" s="133"/>
      <c r="AA32" s="122"/>
      <c r="AB32" s="122"/>
      <c r="AC32" s="122"/>
      <c r="AD32" s="122"/>
      <c r="AE32" s="122"/>
      <c r="AF32" s="122"/>
      <c r="AG32" s="122"/>
      <c r="AH32" s="122"/>
      <c r="AI32" s="122"/>
      <c r="AJ32" s="122"/>
      <c r="AK32" s="122"/>
      <c r="AL32" s="122"/>
      <c r="AM32" s="122"/>
      <c r="AN32" s="122"/>
      <c r="AO32" s="122"/>
    </row>
    <row r="33" spans="2:41">
      <c r="B33" s="9">
        <v>29</v>
      </c>
      <c r="C33" s="49" t="s">
        <v>92</v>
      </c>
      <c r="D33" s="89" t="s">
        <v>581</v>
      </c>
      <c r="E33" s="508" t="s">
        <v>1696</v>
      </c>
      <c r="F33" s="91">
        <v>4670.6049207358301</v>
      </c>
      <c r="G33" s="91"/>
      <c r="H33" s="91"/>
      <c r="I33" s="91">
        <v>3.9468827298432525</v>
      </c>
      <c r="J33" s="91">
        <v>3200.737449908459</v>
      </c>
      <c r="K33" s="91">
        <v>4670.6049207358301</v>
      </c>
      <c r="L33" s="91">
        <v>4670.6049207358301</v>
      </c>
      <c r="M33" s="91">
        <v>28826.526522684046</v>
      </c>
      <c r="N33" s="91">
        <v>21362.868152519542</v>
      </c>
      <c r="O33" s="91">
        <f t="shared" si="2"/>
        <v>4670.6049207358301</v>
      </c>
      <c r="P33" s="91">
        <f t="shared" si="1"/>
        <v>21362.868152519542</v>
      </c>
      <c r="Q33" s="133"/>
      <c r="R33" s="133"/>
      <c r="S33" s="125"/>
      <c r="T33" s="133"/>
      <c r="U33" s="133"/>
      <c r="V33" s="133"/>
      <c r="W33" s="133"/>
      <c r="X33" s="133"/>
      <c r="Y33" s="133"/>
      <c r="Z33" s="133"/>
      <c r="AA33" s="122"/>
      <c r="AB33" s="122"/>
      <c r="AC33" s="122"/>
      <c r="AD33" s="122"/>
      <c r="AE33" s="122"/>
      <c r="AF33" s="122"/>
      <c r="AG33" s="122"/>
      <c r="AH33" s="122"/>
      <c r="AI33" s="122"/>
      <c r="AJ33" s="122"/>
      <c r="AK33" s="122"/>
      <c r="AL33" s="122"/>
      <c r="AM33" s="122"/>
      <c r="AN33" s="122"/>
      <c r="AO33" s="122"/>
    </row>
    <row r="34" spans="2:41">
      <c r="B34" s="9">
        <v>30</v>
      </c>
      <c r="C34" s="49" t="s">
        <v>93</v>
      </c>
      <c r="D34" s="89" t="s">
        <v>581</v>
      </c>
      <c r="E34" s="508" t="s">
        <v>1697</v>
      </c>
      <c r="F34" s="91"/>
      <c r="G34" s="91"/>
      <c r="H34" s="91"/>
      <c r="I34" s="91"/>
      <c r="J34" s="91"/>
      <c r="K34" s="91"/>
      <c r="L34" s="91"/>
      <c r="M34" s="91"/>
      <c r="N34" s="91"/>
      <c r="O34" s="91"/>
      <c r="P34" s="91"/>
      <c r="Q34" s="133"/>
      <c r="R34" s="133"/>
      <c r="S34" s="125"/>
      <c r="T34" s="133"/>
      <c r="U34" s="133"/>
      <c r="V34" s="133"/>
      <c r="W34" s="133"/>
      <c r="X34" s="133"/>
      <c r="Y34" s="133"/>
      <c r="Z34" s="133"/>
      <c r="AA34" s="122"/>
      <c r="AB34" s="122"/>
      <c r="AC34" s="122"/>
      <c r="AD34" s="122"/>
      <c r="AE34" s="122"/>
      <c r="AF34" s="122"/>
      <c r="AG34" s="122"/>
      <c r="AH34" s="122"/>
      <c r="AI34" s="122"/>
      <c r="AJ34" s="122"/>
      <c r="AK34" s="122"/>
      <c r="AL34" s="122"/>
      <c r="AM34" s="122"/>
      <c r="AN34" s="122"/>
      <c r="AO34" s="122"/>
    </row>
    <row r="35" spans="2:41">
      <c r="B35" s="9">
        <v>31</v>
      </c>
      <c r="C35" s="49" t="s">
        <v>94</v>
      </c>
      <c r="D35" s="89" t="s">
        <v>581</v>
      </c>
      <c r="E35" s="508" t="s">
        <v>1698</v>
      </c>
      <c r="F35" s="91">
        <v>140.1181476220749</v>
      </c>
      <c r="G35" s="91"/>
      <c r="H35" s="91"/>
      <c r="I35" s="91">
        <v>6.2492178047313204E-2</v>
      </c>
      <c r="J35" s="91">
        <v>96.022123497253759</v>
      </c>
      <c r="K35" s="91">
        <v>140.1181476220749</v>
      </c>
      <c r="L35" s="91">
        <v>140.1181476220749</v>
      </c>
      <c r="M35" s="91">
        <v>864.79579568052134</v>
      </c>
      <c r="N35" s="91">
        <v>640.8860445755862</v>
      </c>
      <c r="O35" s="91">
        <f>MIN(K35,L35,M35,N35)</f>
        <v>140.1181476220749</v>
      </c>
      <c r="P35" s="91">
        <f t="shared" si="1"/>
        <v>640.8860445755862</v>
      </c>
      <c r="Q35" s="133"/>
      <c r="R35" s="133"/>
      <c r="S35" s="125"/>
      <c r="T35" s="133"/>
      <c r="U35" s="133"/>
      <c r="V35" s="133"/>
      <c r="W35" s="133"/>
      <c r="X35" s="133"/>
      <c r="Y35" s="133"/>
      <c r="Z35" s="133"/>
      <c r="AA35" s="122"/>
      <c r="AB35" s="122"/>
      <c r="AC35" s="122"/>
      <c r="AD35" s="122"/>
      <c r="AE35" s="122"/>
      <c r="AF35" s="122"/>
      <c r="AG35" s="122"/>
      <c r="AH35" s="122"/>
      <c r="AI35" s="122"/>
      <c r="AJ35" s="122"/>
      <c r="AK35" s="122"/>
      <c r="AL35" s="122"/>
      <c r="AM35" s="122"/>
      <c r="AN35" s="122"/>
      <c r="AO35" s="122"/>
    </row>
    <row r="36" spans="2:41">
      <c r="B36" s="9">
        <v>32</v>
      </c>
      <c r="C36" s="49" t="s">
        <v>95</v>
      </c>
      <c r="D36" s="89" t="s">
        <v>581</v>
      </c>
      <c r="E36" s="508" t="s">
        <v>1668</v>
      </c>
      <c r="F36" s="91">
        <v>233.53024603679154</v>
      </c>
      <c r="G36" s="91"/>
      <c r="H36" s="91"/>
      <c r="I36" s="91">
        <v>0.20529203724157971</v>
      </c>
      <c r="J36" s="91">
        <v>160.03687249542293</v>
      </c>
      <c r="K36" s="91">
        <v>233.53024603679154</v>
      </c>
      <c r="L36" s="91">
        <v>233.53024603679154</v>
      </c>
      <c r="M36" s="91">
        <v>1441.3263261342024</v>
      </c>
      <c r="N36" s="91">
        <v>1068.143407625977</v>
      </c>
      <c r="O36" s="91">
        <f>MIN(K36,L36,M36,N36)</f>
        <v>233.53024603679154</v>
      </c>
      <c r="P36" s="91">
        <f t="shared" si="1"/>
        <v>1068.143407625977</v>
      </c>
      <c r="Q36" s="133"/>
      <c r="R36" s="133"/>
      <c r="S36" s="125"/>
      <c r="T36" s="133"/>
      <c r="U36" s="133"/>
      <c r="V36" s="133"/>
      <c r="W36" s="133"/>
      <c r="X36" s="133"/>
      <c r="Y36" s="133"/>
      <c r="Z36" s="133"/>
      <c r="AA36" s="122"/>
      <c r="AB36" s="122"/>
      <c r="AC36" s="122"/>
      <c r="AD36" s="122"/>
      <c r="AE36" s="122"/>
      <c r="AF36" s="122"/>
      <c r="AG36" s="122"/>
      <c r="AH36" s="122"/>
      <c r="AI36" s="122"/>
      <c r="AJ36" s="122"/>
      <c r="AK36" s="122"/>
      <c r="AL36" s="122"/>
      <c r="AM36" s="122"/>
      <c r="AN36" s="122"/>
      <c r="AO36" s="122"/>
    </row>
    <row r="37" spans="2:41">
      <c r="B37" s="9">
        <v>33</v>
      </c>
      <c r="C37" s="49" t="s">
        <v>96</v>
      </c>
      <c r="D37" s="89" t="s">
        <v>581</v>
      </c>
      <c r="E37" s="508" t="s">
        <v>1663</v>
      </c>
      <c r="F37" s="435">
        <v>1010.27</v>
      </c>
      <c r="G37" s="435"/>
      <c r="H37" s="435"/>
      <c r="I37" s="435">
        <v>0.75700415246479491</v>
      </c>
      <c r="J37" s="435">
        <v>713.55303930665093</v>
      </c>
      <c r="K37" s="435">
        <v>974.22805628878473</v>
      </c>
      <c r="L37" s="435">
        <v>1010.2667791858059</v>
      </c>
      <c r="M37" s="435">
        <v>4917.0653509207523</v>
      </c>
      <c r="N37" s="435">
        <v>3970.5696110210542</v>
      </c>
      <c r="O37" s="435">
        <f>MIN(K37,L37,M37,N37)</f>
        <v>974.22805628878473</v>
      </c>
      <c r="P37" s="435">
        <f t="shared" si="1"/>
        <v>3970.5696110210542</v>
      </c>
      <c r="Q37" s="133"/>
      <c r="R37" s="133"/>
      <c r="S37" s="125"/>
      <c r="T37" s="133"/>
      <c r="U37" s="133"/>
      <c r="V37" s="133"/>
      <c r="W37" s="133"/>
      <c r="X37" s="133"/>
      <c r="Y37" s="133"/>
      <c r="Z37" s="133"/>
      <c r="AA37" s="122"/>
      <c r="AB37" s="122"/>
      <c r="AC37" s="122"/>
      <c r="AD37" s="122"/>
      <c r="AE37" s="122"/>
      <c r="AF37" s="122"/>
      <c r="AG37" s="122"/>
      <c r="AH37" s="122"/>
      <c r="AI37" s="122"/>
      <c r="AJ37" s="122"/>
      <c r="AK37" s="122"/>
      <c r="AL37" s="122"/>
      <c r="AM37" s="122"/>
      <c r="AN37" s="122"/>
      <c r="AO37" s="122"/>
    </row>
    <row r="38" spans="2:41">
      <c r="B38" s="9">
        <v>34</v>
      </c>
      <c r="C38" s="49" t="s">
        <v>97</v>
      </c>
      <c r="D38" s="89" t="s">
        <v>581</v>
      </c>
      <c r="E38" s="508" t="s">
        <v>1671</v>
      </c>
      <c r="F38" s="91"/>
      <c r="G38" s="91"/>
      <c r="H38" s="91"/>
      <c r="I38" s="91"/>
      <c r="J38" s="91"/>
      <c r="K38" s="91"/>
      <c r="L38" s="91"/>
      <c r="M38" s="91"/>
      <c r="N38" s="91"/>
      <c r="O38" s="91"/>
      <c r="P38" s="91"/>
      <c r="Q38" s="133"/>
      <c r="R38" s="133"/>
      <c r="S38" s="125"/>
      <c r="T38" s="133"/>
      <c r="U38" s="133"/>
      <c r="V38" s="133"/>
      <c r="W38" s="133"/>
      <c r="X38" s="133"/>
      <c r="Y38" s="133"/>
      <c r="Z38" s="133"/>
      <c r="AA38" s="122"/>
      <c r="AB38" s="122"/>
      <c r="AC38" s="122"/>
      <c r="AD38" s="122"/>
      <c r="AE38" s="122"/>
      <c r="AF38" s="122"/>
      <c r="AG38" s="122"/>
      <c r="AH38" s="122"/>
      <c r="AI38" s="122"/>
      <c r="AJ38" s="122"/>
      <c r="AK38" s="122"/>
      <c r="AL38" s="122"/>
      <c r="AM38" s="122"/>
      <c r="AN38" s="122"/>
      <c r="AO38" s="122"/>
    </row>
    <row r="39" spans="2:41">
      <c r="B39" s="9">
        <v>35</v>
      </c>
      <c r="C39" s="49" t="s">
        <v>98</v>
      </c>
      <c r="D39" s="89" t="s">
        <v>581</v>
      </c>
      <c r="E39" s="508" t="s">
        <v>1675</v>
      </c>
      <c r="F39" s="91"/>
      <c r="G39" s="91"/>
      <c r="H39" s="91"/>
      <c r="I39" s="91"/>
      <c r="J39" s="91"/>
      <c r="K39" s="91"/>
      <c r="L39" s="91"/>
      <c r="M39" s="91"/>
      <c r="N39" s="91"/>
      <c r="O39" s="91"/>
      <c r="P39" s="91"/>
      <c r="Q39" s="133"/>
      <c r="R39" s="133"/>
      <c r="S39" s="125"/>
      <c r="T39" s="133"/>
      <c r="U39" s="133"/>
      <c r="V39" s="133"/>
      <c r="W39" s="133"/>
      <c r="X39" s="133"/>
      <c r="Y39" s="133"/>
      <c r="Z39" s="133"/>
      <c r="AA39" s="122"/>
      <c r="AB39" s="122"/>
      <c r="AC39" s="122"/>
      <c r="AD39" s="122"/>
      <c r="AE39" s="122"/>
      <c r="AF39" s="122"/>
      <c r="AG39" s="122"/>
      <c r="AH39" s="122"/>
      <c r="AI39" s="122"/>
      <c r="AJ39" s="122"/>
      <c r="AK39" s="122"/>
      <c r="AL39" s="122"/>
      <c r="AM39" s="122"/>
      <c r="AN39" s="122"/>
      <c r="AO39" s="122"/>
    </row>
    <row r="40" spans="2:41">
      <c r="B40" s="9">
        <v>36</v>
      </c>
      <c r="C40" s="49" t="s">
        <v>99</v>
      </c>
      <c r="D40" s="89" t="s">
        <v>581</v>
      </c>
      <c r="E40" s="508" t="s">
        <v>1652</v>
      </c>
      <c r="F40" s="435">
        <v>345.61529482910208</v>
      </c>
      <c r="G40" s="435"/>
      <c r="H40" s="435"/>
      <c r="I40" s="435">
        <v>0.33771076288953505</v>
      </c>
      <c r="J40" s="435">
        <v>191.26216137316058</v>
      </c>
      <c r="K40" s="435">
        <v>159.93633308128332</v>
      </c>
      <c r="L40" s="435">
        <v>345.61529482910208</v>
      </c>
      <c r="M40" s="435">
        <v>648.72452320997263</v>
      </c>
      <c r="N40" s="435">
        <v>616.41418117278954</v>
      </c>
      <c r="O40" s="435">
        <f>MIN(K40,L40,M40,N40)</f>
        <v>159.93633308128332</v>
      </c>
      <c r="P40" s="435">
        <f t="shared" si="1"/>
        <v>616.41418117278954</v>
      </c>
      <c r="Q40" s="133"/>
      <c r="R40" s="133"/>
      <c r="S40" s="125"/>
      <c r="T40" s="133"/>
      <c r="U40" s="133"/>
      <c r="V40" s="133"/>
      <c r="W40" s="133"/>
      <c r="X40" s="133"/>
      <c r="Y40" s="133"/>
      <c r="Z40" s="133"/>
      <c r="AA40" s="122"/>
      <c r="AB40" s="122"/>
      <c r="AC40" s="122"/>
      <c r="AD40" s="122"/>
      <c r="AE40" s="122"/>
      <c r="AF40" s="122"/>
      <c r="AG40" s="122"/>
      <c r="AH40" s="122"/>
      <c r="AI40" s="122"/>
      <c r="AJ40" s="122"/>
      <c r="AK40" s="122"/>
      <c r="AL40" s="122"/>
      <c r="AM40" s="122"/>
      <c r="AN40" s="122"/>
      <c r="AO40" s="122"/>
    </row>
    <row r="41" spans="2:41">
      <c r="B41" s="9">
        <v>37</v>
      </c>
      <c r="C41" s="49" t="s">
        <v>100</v>
      </c>
      <c r="D41" s="89" t="s">
        <v>581</v>
      </c>
      <c r="E41" s="508" t="s">
        <v>1658</v>
      </c>
      <c r="F41" s="91"/>
      <c r="G41" s="91"/>
      <c r="H41" s="91"/>
      <c r="I41" s="91"/>
      <c r="J41" s="91"/>
      <c r="K41" s="91"/>
      <c r="L41" s="91"/>
      <c r="M41" s="91"/>
      <c r="N41" s="91"/>
      <c r="O41" s="91"/>
      <c r="P41" s="91"/>
      <c r="Q41" s="133"/>
      <c r="R41" s="133"/>
      <c r="S41" s="125"/>
      <c r="T41" s="133"/>
      <c r="U41" s="133"/>
      <c r="V41" s="133"/>
      <c r="W41" s="133"/>
      <c r="X41" s="133"/>
      <c r="Y41" s="133"/>
      <c r="Z41" s="133"/>
      <c r="AA41" s="122"/>
      <c r="AB41" s="122"/>
      <c r="AC41" s="122"/>
      <c r="AD41" s="122"/>
      <c r="AE41" s="122"/>
      <c r="AF41" s="122"/>
      <c r="AG41" s="122"/>
      <c r="AH41" s="122"/>
      <c r="AI41" s="122"/>
      <c r="AJ41" s="122"/>
      <c r="AK41" s="122"/>
      <c r="AL41" s="122"/>
      <c r="AM41" s="122"/>
      <c r="AN41" s="122"/>
      <c r="AO41" s="122"/>
    </row>
    <row r="42" spans="2:41">
      <c r="B42" s="9">
        <v>38</v>
      </c>
      <c r="C42" s="49" t="s">
        <v>101</v>
      </c>
      <c r="D42" s="89" t="s">
        <v>581</v>
      </c>
      <c r="E42" s="508" t="s">
        <v>1667</v>
      </c>
      <c r="F42" s="91"/>
      <c r="G42" s="91"/>
      <c r="H42" s="91"/>
      <c r="I42" s="91"/>
      <c r="J42" s="91"/>
      <c r="K42" s="91"/>
      <c r="L42" s="91"/>
      <c r="M42" s="91"/>
      <c r="N42" s="91"/>
      <c r="O42" s="91"/>
      <c r="P42" s="91"/>
      <c r="Q42" s="133"/>
      <c r="R42" s="133"/>
      <c r="S42" s="125"/>
      <c r="T42" s="133"/>
      <c r="U42" s="133"/>
      <c r="V42" s="133"/>
      <c r="W42" s="133"/>
      <c r="X42" s="133"/>
      <c r="Y42" s="133"/>
      <c r="Z42" s="133"/>
      <c r="AA42" s="122"/>
      <c r="AB42" s="122"/>
      <c r="AC42" s="122"/>
      <c r="AD42" s="122"/>
      <c r="AE42" s="122"/>
      <c r="AF42" s="122"/>
      <c r="AG42" s="122"/>
      <c r="AH42" s="122"/>
      <c r="AI42" s="122"/>
      <c r="AJ42" s="122"/>
      <c r="AK42" s="122"/>
      <c r="AL42" s="122"/>
      <c r="AM42" s="122"/>
      <c r="AN42" s="122"/>
      <c r="AO42" s="122"/>
    </row>
    <row r="43" spans="2:41">
      <c r="B43" s="9">
        <v>39</v>
      </c>
      <c r="C43" s="49" t="s">
        <v>102</v>
      </c>
      <c r="D43" s="89" t="s">
        <v>581</v>
      </c>
      <c r="E43" s="508" t="s">
        <v>1669</v>
      </c>
      <c r="F43" s="91"/>
      <c r="G43" s="91"/>
      <c r="H43" s="91"/>
      <c r="I43" s="91"/>
      <c r="J43" s="91"/>
      <c r="K43" s="91"/>
      <c r="L43" s="91"/>
      <c r="M43" s="91"/>
      <c r="N43" s="91"/>
      <c r="O43" s="91"/>
      <c r="P43" s="91"/>
      <c r="Q43" s="133"/>
      <c r="R43" s="133"/>
      <c r="S43" s="125"/>
      <c r="T43" s="133"/>
      <c r="U43" s="133"/>
      <c r="V43" s="133"/>
      <c r="W43" s="133"/>
      <c r="X43" s="133"/>
      <c r="Y43" s="133"/>
      <c r="Z43" s="133"/>
      <c r="AA43" s="122"/>
      <c r="AB43" s="122"/>
      <c r="AC43" s="122"/>
      <c r="AD43" s="122"/>
      <c r="AE43" s="122"/>
      <c r="AF43" s="122"/>
      <c r="AG43" s="122"/>
      <c r="AH43" s="122"/>
      <c r="AI43" s="122"/>
      <c r="AJ43" s="122"/>
      <c r="AK43" s="122"/>
      <c r="AL43" s="122"/>
      <c r="AM43" s="122"/>
      <c r="AN43" s="122"/>
      <c r="AO43" s="122"/>
    </row>
    <row r="44" spans="2:41">
      <c r="B44" s="9">
        <v>40</v>
      </c>
      <c r="C44" s="49" t="s">
        <v>103</v>
      </c>
      <c r="D44" s="89" t="s">
        <v>581</v>
      </c>
      <c r="E44" s="508" t="s">
        <v>1643</v>
      </c>
      <c r="F44" s="91"/>
      <c r="G44" s="91"/>
      <c r="H44" s="91"/>
      <c r="I44" s="91"/>
      <c r="J44" s="91"/>
      <c r="K44" s="91"/>
      <c r="L44" s="91"/>
      <c r="M44" s="91"/>
      <c r="N44" s="91"/>
      <c r="O44" s="91"/>
      <c r="P44" s="91"/>
      <c r="Q44" s="133"/>
      <c r="R44" s="133"/>
      <c r="S44" s="125"/>
      <c r="T44" s="133"/>
      <c r="U44" s="133"/>
      <c r="V44" s="133"/>
      <c r="W44" s="133"/>
      <c r="X44" s="133"/>
      <c r="Y44" s="133"/>
      <c r="Z44" s="133"/>
      <c r="AA44" s="122"/>
      <c r="AB44" s="122"/>
      <c r="AC44" s="122"/>
      <c r="AD44" s="122"/>
      <c r="AE44" s="122"/>
      <c r="AF44" s="122"/>
      <c r="AG44" s="122"/>
      <c r="AH44" s="122"/>
      <c r="AI44" s="122"/>
      <c r="AJ44" s="122"/>
      <c r="AK44" s="122"/>
      <c r="AL44" s="122"/>
      <c r="AM44" s="122"/>
      <c r="AN44" s="122"/>
      <c r="AO44" s="122"/>
    </row>
    <row r="45" spans="2:41">
      <c r="B45" s="9">
        <v>41</v>
      </c>
      <c r="C45" s="49" t="s">
        <v>104</v>
      </c>
      <c r="D45" s="89" t="s">
        <v>581</v>
      </c>
      <c r="E45" s="508" t="s">
        <v>1644</v>
      </c>
      <c r="F45" s="91"/>
      <c r="G45" s="91"/>
      <c r="H45" s="91"/>
      <c r="I45" s="91"/>
      <c r="J45" s="91"/>
      <c r="K45" s="91"/>
      <c r="L45" s="91"/>
      <c r="M45" s="91"/>
      <c r="N45" s="91"/>
      <c r="O45" s="91"/>
      <c r="P45" s="91"/>
      <c r="Q45" s="133"/>
      <c r="R45" s="133"/>
      <c r="S45" s="125"/>
      <c r="T45" s="133"/>
      <c r="U45" s="133"/>
      <c r="V45" s="133"/>
      <c r="W45" s="133"/>
      <c r="X45" s="133"/>
      <c r="Y45" s="133"/>
      <c r="Z45" s="133"/>
      <c r="AA45" s="122"/>
      <c r="AB45" s="122"/>
      <c r="AC45" s="122"/>
      <c r="AD45" s="122"/>
      <c r="AE45" s="122"/>
      <c r="AF45" s="122"/>
      <c r="AG45" s="122"/>
      <c r="AH45" s="122"/>
      <c r="AI45" s="122"/>
      <c r="AJ45" s="122"/>
      <c r="AK45" s="122"/>
      <c r="AL45" s="122"/>
      <c r="AM45" s="122"/>
      <c r="AN45" s="122"/>
      <c r="AO45" s="122"/>
    </row>
    <row r="46" spans="2:41">
      <c r="B46" s="9">
        <v>42</v>
      </c>
      <c r="C46" s="49" t="s">
        <v>105</v>
      </c>
      <c r="D46" s="89" t="s">
        <v>581</v>
      </c>
      <c r="E46" s="508" t="s">
        <v>1648</v>
      </c>
      <c r="F46" s="434">
        <v>8941.7907536457114</v>
      </c>
      <c r="G46" s="435"/>
      <c r="H46" s="435"/>
      <c r="I46" s="435">
        <v>31.08915124398904</v>
      </c>
      <c r="J46" s="434">
        <v>3905.7446106025936</v>
      </c>
      <c r="K46" s="434">
        <v>2770.830378837074</v>
      </c>
      <c r="L46" s="434">
        <v>8941.7907536457114</v>
      </c>
      <c r="M46" s="434">
        <v>16900.000528890039</v>
      </c>
      <c r="N46" s="434">
        <v>12524.314464043606</v>
      </c>
      <c r="O46" s="435">
        <f>MIN(K46,L46,M46,N46)</f>
        <v>2770.830378837074</v>
      </c>
      <c r="P46" s="435">
        <f t="shared" si="1"/>
        <v>12524.314464043606</v>
      </c>
      <c r="Q46" s="133"/>
      <c r="R46" s="133"/>
      <c r="S46" s="125"/>
      <c r="T46" s="133"/>
      <c r="U46" s="133"/>
      <c r="V46" s="133"/>
      <c r="W46" s="133"/>
      <c r="X46" s="133"/>
      <c r="Y46" s="133"/>
      <c r="Z46" s="133"/>
      <c r="AA46" s="122"/>
      <c r="AB46" s="122"/>
      <c r="AC46" s="122"/>
      <c r="AD46" s="122"/>
      <c r="AE46" s="122"/>
      <c r="AF46" s="122"/>
      <c r="AG46" s="122"/>
      <c r="AH46" s="122"/>
      <c r="AI46" s="122"/>
      <c r="AJ46" s="122"/>
      <c r="AK46" s="122"/>
      <c r="AL46" s="122"/>
      <c r="AM46" s="122"/>
      <c r="AN46" s="122"/>
      <c r="AO46" s="122"/>
    </row>
    <row r="47" spans="2:41">
      <c r="B47" s="9">
        <v>43</v>
      </c>
      <c r="C47" s="49" t="s">
        <v>106</v>
      </c>
      <c r="D47" s="89" t="s">
        <v>582</v>
      </c>
      <c r="E47" s="508" t="s">
        <v>1649</v>
      </c>
      <c r="F47" s="435">
        <v>10.916681682719874</v>
      </c>
      <c r="G47" s="431"/>
      <c r="H47" s="431"/>
      <c r="I47" s="431">
        <v>0.17929705756669179</v>
      </c>
      <c r="J47" s="435">
        <v>1.9283985466595188</v>
      </c>
      <c r="K47" s="435">
        <v>3.110728834763151</v>
      </c>
      <c r="L47" s="435">
        <v>10.916681682719874</v>
      </c>
      <c r="M47" s="435">
        <v>6.1890194278931441</v>
      </c>
      <c r="N47" s="435">
        <v>7.7370367268080518</v>
      </c>
      <c r="O47" s="435">
        <f>MIN(K47,L47,M47,N47)</f>
        <v>3.110728834763151</v>
      </c>
      <c r="P47" s="435">
        <f t="shared" si="1"/>
        <v>6.1890194278931441</v>
      </c>
      <c r="Q47" s="133"/>
      <c r="R47" s="133"/>
      <c r="S47" s="146"/>
      <c r="T47" s="133"/>
      <c r="U47" s="133"/>
      <c r="V47" s="133"/>
      <c r="W47" s="133"/>
      <c r="X47" s="133"/>
      <c r="Y47" s="133"/>
      <c r="Z47" s="133"/>
      <c r="AA47" s="122"/>
      <c r="AB47" s="122"/>
      <c r="AC47" s="122"/>
      <c r="AD47" s="122"/>
      <c r="AE47" s="122"/>
      <c r="AF47" s="122"/>
      <c r="AG47" s="122"/>
      <c r="AH47" s="122"/>
      <c r="AI47" s="122"/>
      <c r="AJ47" s="122"/>
      <c r="AK47" s="122"/>
      <c r="AL47" s="122"/>
      <c r="AM47" s="122"/>
      <c r="AN47" s="122"/>
      <c r="AO47" s="122"/>
    </row>
    <row r="48" spans="2:41" s="148" customFormat="1">
      <c r="B48" s="9">
        <v>44</v>
      </c>
      <c r="C48" s="136" t="s">
        <v>107</v>
      </c>
      <c r="D48" s="89" t="s">
        <v>581</v>
      </c>
      <c r="E48" s="508" t="s">
        <v>1666</v>
      </c>
      <c r="F48" s="91"/>
      <c r="G48" s="91"/>
      <c r="H48" s="91"/>
      <c r="I48" s="91"/>
      <c r="J48" s="91"/>
      <c r="K48" s="91"/>
      <c r="L48" s="91"/>
      <c r="M48" s="91"/>
      <c r="N48" s="91"/>
      <c r="O48" s="91"/>
      <c r="P48" s="91"/>
      <c r="Q48" s="133"/>
      <c r="R48" s="133"/>
      <c r="S48" s="125"/>
      <c r="T48" s="133"/>
      <c r="U48" s="133"/>
      <c r="V48" s="133"/>
      <c r="W48" s="133"/>
      <c r="X48" s="133"/>
      <c r="Y48" s="133"/>
      <c r="Z48" s="133"/>
      <c r="AA48" s="147"/>
      <c r="AB48" s="147"/>
      <c r="AC48" s="147"/>
      <c r="AD48" s="147"/>
      <c r="AE48" s="147"/>
      <c r="AF48" s="147"/>
      <c r="AG48" s="147"/>
      <c r="AH48" s="147"/>
      <c r="AI48" s="147"/>
      <c r="AJ48" s="147"/>
      <c r="AK48" s="147"/>
      <c r="AL48" s="147"/>
      <c r="AM48" s="147"/>
      <c r="AN48" s="147"/>
      <c r="AO48" s="147"/>
    </row>
    <row r="49" spans="2:41">
      <c r="B49" s="9">
        <v>45</v>
      </c>
      <c r="C49" s="136" t="s">
        <v>108</v>
      </c>
      <c r="D49" s="89" t="s">
        <v>581</v>
      </c>
      <c r="E49" s="508" t="s">
        <v>1640</v>
      </c>
      <c r="F49" s="91"/>
      <c r="G49" s="91"/>
      <c r="H49" s="91"/>
      <c r="I49" s="91"/>
      <c r="J49" s="91"/>
      <c r="K49" s="91"/>
      <c r="L49" s="91"/>
      <c r="M49" s="91"/>
      <c r="N49" s="91"/>
      <c r="O49" s="91"/>
      <c r="P49" s="91"/>
      <c r="Q49" s="133"/>
      <c r="R49" s="133"/>
      <c r="S49" s="125"/>
      <c r="T49" s="133"/>
      <c r="U49" s="133"/>
      <c r="V49" s="133"/>
      <c r="W49" s="133"/>
      <c r="X49" s="133"/>
      <c r="Y49" s="133"/>
      <c r="Z49" s="133"/>
      <c r="AA49" s="122"/>
      <c r="AB49" s="122"/>
      <c r="AC49" s="122"/>
      <c r="AD49" s="122"/>
      <c r="AE49" s="122"/>
      <c r="AF49" s="122"/>
      <c r="AG49" s="122"/>
      <c r="AH49" s="122"/>
      <c r="AI49" s="122"/>
      <c r="AJ49" s="122"/>
      <c r="AK49" s="122"/>
      <c r="AL49" s="122"/>
      <c r="AM49" s="122"/>
      <c r="AN49" s="122"/>
      <c r="AO49" s="122"/>
    </row>
    <row r="50" spans="2:41">
      <c r="B50" s="9">
        <v>46</v>
      </c>
      <c r="C50" s="49" t="s">
        <v>109</v>
      </c>
      <c r="D50" s="89" t="s">
        <v>581</v>
      </c>
      <c r="E50" s="508" t="s">
        <v>1641</v>
      </c>
      <c r="F50" s="435">
        <v>207.79132090678203</v>
      </c>
      <c r="G50" s="435"/>
      <c r="H50" s="435"/>
      <c r="I50" s="435">
        <v>8.9873167206198374</v>
      </c>
      <c r="J50" s="435">
        <v>54.098343999417779</v>
      </c>
      <c r="K50" s="435">
        <v>31.482284236394349</v>
      </c>
      <c r="L50" s="435">
        <v>207.79132090678203</v>
      </c>
      <c r="M50" s="435">
        <v>134.77629156212603</v>
      </c>
      <c r="N50" s="435">
        <v>134.3374170403614</v>
      </c>
      <c r="O50" s="435">
        <f>MIN(K50,L50,M50,N50)</f>
        <v>31.482284236394349</v>
      </c>
      <c r="P50" s="435">
        <f t="shared" si="1"/>
        <v>134.3374170403614</v>
      </c>
      <c r="Q50" s="133"/>
      <c r="R50" s="133"/>
      <c r="S50" s="125"/>
      <c r="T50" s="133"/>
      <c r="U50" s="133"/>
      <c r="V50" s="133"/>
      <c r="W50" s="133"/>
      <c r="X50" s="133"/>
      <c r="Y50" s="133"/>
      <c r="Z50" s="133"/>
      <c r="AA50" s="122"/>
      <c r="AB50" s="122"/>
      <c r="AC50" s="122"/>
      <c r="AD50" s="122"/>
      <c r="AE50" s="122"/>
      <c r="AF50" s="122"/>
      <c r="AG50" s="122"/>
      <c r="AH50" s="122"/>
      <c r="AI50" s="122"/>
      <c r="AJ50" s="122"/>
      <c r="AK50" s="122"/>
      <c r="AL50" s="122"/>
      <c r="AM50" s="122"/>
      <c r="AN50" s="122"/>
      <c r="AO50" s="122"/>
    </row>
    <row r="51" spans="2:41">
      <c r="B51" s="9">
        <v>47</v>
      </c>
      <c r="C51" s="49" t="s">
        <v>350</v>
      </c>
      <c r="D51" s="149" t="s">
        <v>581</v>
      </c>
      <c r="E51" s="508" t="s">
        <v>1642</v>
      </c>
      <c r="F51" s="140"/>
      <c r="G51" s="140"/>
      <c r="H51" s="140"/>
      <c r="I51" s="140"/>
      <c r="J51" s="140"/>
      <c r="K51" s="140"/>
      <c r="L51" s="140"/>
      <c r="M51" s="140"/>
      <c r="N51" s="140"/>
      <c r="O51" s="140"/>
      <c r="P51" s="140"/>
      <c r="Q51" s="133"/>
      <c r="R51" s="133"/>
      <c r="S51" s="125"/>
      <c r="T51" s="133"/>
      <c r="U51" s="133"/>
      <c r="V51" s="133"/>
      <c r="W51" s="133"/>
      <c r="X51" s="133"/>
      <c r="Y51" s="133"/>
      <c r="Z51" s="133"/>
      <c r="AA51" s="122"/>
      <c r="AB51" s="122"/>
      <c r="AC51" s="122"/>
      <c r="AD51" s="122"/>
      <c r="AE51" s="122"/>
      <c r="AF51" s="122"/>
      <c r="AG51" s="122"/>
      <c r="AH51" s="122"/>
      <c r="AI51" s="122"/>
      <c r="AJ51" s="122"/>
      <c r="AK51" s="122"/>
      <c r="AL51" s="122"/>
      <c r="AM51" s="122"/>
      <c r="AN51" s="122"/>
      <c r="AO51" s="122"/>
    </row>
    <row r="52" spans="2:41">
      <c r="B52" s="9">
        <v>48</v>
      </c>
      <c r="C52" s="49" t="s">
        <v>68</v>
      </c>
      <c r="D52" s="89">
        <v>3</v>
      </c>
      <c r="E52" s="508" t="s">
        <v>1766</v>
      </c>
      <c r="F52" s="150">
        <v>1000000</v>
      </c>
      <c r="G52" s="151"/>
      <c r="H52" s="91"/>
      <c r="I52" s="91">
        <v>32.671027457610442</v>
      </c>
      <c r="J52" s="91">
        <v>32.671027457610442</v>
      </c>
      <c r="K52" s="144">
        <v>944.1742881564486</v>
      </c>
      <c r="L52" s="150">
        <v>1000000</v>
      </c>
      <c r="M52" s="144">
        <v>137.43354961501313</v>
      </c>
      <c r="N52" s="144">
        <v>466.57653784084488</v>
      </c>
      <c r="O52" s="91">
        <f t="shared" ref="O52:O59" si="3">MIN(K52,L52,M52,N52)</f>
        <v>137.43354961501313</v>
      </c>
      <c r="P52" s="91">
        <f t="shared" si="1"/>
        <v>137.43354961501313</v>
      </c>
      <c r="Q52" s="152"/>
      <c r="R52" s="133"/>
      <c r="S52" s="142"/>
      <c r="T52" s="133"/>
      <c r="U52" s="133"/>
      <c r="V52" s="133"/>
      <c r="W52" s="152"/>
      <c r="X52" s="133"/>
      <c r="Y52" s="133"/>
      <c r="Z52" s="133"/>
      <c r="AA52" s="122"/>
      <c r="AB52" s="122"/>
      <c r="AC52" s="122"/>
      <c r="AD52" s="122"/>
      <c r="AE52" s="122"/>
      <c r="AF52" s="122"/>
      <c r="AG52" s="122"/>
      <c r="AH52" s="122"/>
      <c r="AI52" s="122"/>
      <c r="AJ52" s="122"/>
      <c r="AK52" s="122"/>
      <c r="AL52" s="122"/>
      <c r="AM52" s="122"/>
      <c r="AN52" s="122"/>
      <c r="AO52" s="122"/>
    </row>
    <row r="53" spans="2:41">
      <c r="B53" s="9">
        <v>49</v>
      </c>
      <c r="C53" s="49" t="s">
        <v>70</v>
      </c>
      <c r="D53" s="89" t="s">
        <v>582</v>
      </c>
      <c r="E53" s="508" t="s">
        <v>1777</v>
      </c>
      <c r="F53" s="144">
        <v>22702.992163237479</v>
      </c>
      <c r="G53" s="145"/>
      <c r="H53" s="141"/>
      <c r="I53" s="141">
        <v>23.546986491108349</v>
      </c>
      <c r="J53" s="91">
        <v>130.90941653174923</v>
      </c>
      <c r="K53" s="91">
        <v>16905.81072904756</v>
      </c>
      <c r="L53" s="144">
        <v>22702.992163237479</v>
      </c>
      <c r="M53" s="91">
        <v>553.09613048427377</v>
      </c>
      <c r="N53" s="91">
        <v>46998.007487822484</v>
      </c>
      <c r="O53" s="91">
        <f t="shared" si="3"/>
        <v>553.09613048427377</v>
      </c>
      <c r="P53" s="91">
        <f t="shared" si="1"/>
        <v>553.09613048427377</v>
      </c>
      <c r="Q53" s="133"/>
      <c r="R53" s="133"/>
      <c r="S53" s="142"/>
      <c r="T53" s="133"/>
      <c r="U53" s="133"/>
      <c r="V53" s="133"/>
      <c r="W53" s="133"/>
      <c r="X53" s="133"/>
      <c r="Y53" s="133"/>
      <c r="Z53" s="133"/>
      <c r="AA53" s="122"/>
      <c r="AB53" s="122"/>
      <c r="AC53" s="122"/>
      <c r="AD53" s="122"/>
      <c r="AE53" s="122"/>
      <c r="AF53" s="122"/>
      <c r="AG53" s="122"/>
      <c r="AH53" s="122"/>
      <c r="AI53" s="122"/>
      <c r="AJ53" s="122"/>
      <c r="AK53" s="122"/>
      <c r="AL53" s="122"/>
      <c r="AM53" s="122"/>
      <c r="AN53" s="122"/>
      <c r="AO53" s="122"/>
    </row>
    <row r="54" spans="2:41">
      <c r="B54" s="9">
        <v>50</v>
      </c>
      <c r="C54" s="49" t="s">
        <v>186</v>
      </c>
      <c r="D54" s="89" t="s">
        <v>581</v>
      </c>
      <c r="E54" s="508" t="s">
        <v>1686</v>
      </c>
      <c r="F54" s="144">
        <v>16347.117222575407</v>
      </c>
      <c r="G54" s="91"/>
      <c r="H54" s="91"/>
      <c r="I54" s="91">
        <v>9.0862008809759196</v>
      </c>
      <c r="J54" s="144">
        <v>11202.581074679607</v>
      </c>
      <c r="K54" s="144">
        <v>16347.117222575407</v>
      </c>
      <c r="L54" s="144">
        <v>16347.117222575407</v>
      </c>
      <c r="M54" s="144">
        <v>100892.84282939417</v>
      </c>
      <c r="N54" s="144">
        <v>74770.038533818399</v>
      </c>
      <c r="O54" s="91">
        <f t="shared" si="3"/>
        <v>16347.117222575407</v>
      </c>
      <c r="P54" s="91">
        <f t="shared" si="1"/>
        <v>74770.038533818399</v>
      </c>
      <c r="Q54" s="152"/>
      <c r="R54" s="133"/>
      <c r="S54" s="153"/>
      <c r="T54" s="133"/>
      <c r="U54" s="152"/>
      <c r="V54" s="152"/>
      <c r="W54" s="152"/>
      <c r="X54" s="133"/>
      <c r="Y54" s="152"/>
      <c r="Z54" s="152"/>
      <c r="AA54" s="122"/>
      <c r="AB54" s="122"/>
      <c r="AC54" s="122"/>
      <c r="AD54" s="122"/>
      <c r="AE54" s="122"/>
      <c r="AF54" s="122"/>
      <c r="AG54" s="122"/>
      <c r="AH54" s="122"/>
      <c r="AI54" s="122"/>
      <c r="AJ54" s="122"/>
      <c r="AK54" s="122"/>
      <c r="AL54" s="122"/>
      <c r="AM54" s="122"/>
      <c r="AN54" s="122"/>
      <c r="AO54" s="122"/>
    </row>
    <row r="55" spans="2:41">
      <c r="B55" s="9">
        <v>51</v>
      </c>
      <c r="C55" s="49" t="s">
        <v>188</v>
      </c>
      <c r="D55" s="89" t="s">
        <v>581</v>
      </c>
      <c r="E55" s="508" t="s">
        <v>1700</v>
      </c>
      <c r="F55" s="144">
        <v>934.12098414716615</v>
      </c>
      <c r="G55" s="91"/>
      <c r="H55" s="91"/>
      <c r="I55" s="91">
        <v>1.7473668789957979</v>
      </c>
      <c r="J55" s="144">
        <v>640.14748998169171</v>
      </c>
      <c r="K55" s="144">
        <v>934.12098414716615</v>
      </c>
      <c r="L55" s="144">
        <v>934.12098414716615</v>
      </c>
      <c r="M55" s="144">
        <v>5765.3053045368097</v>
      </c>
      <c r="N55" s="144">
        <v>4272.5736305039081</v>
      </c>
      <c r="O55" s="91">
        <f t="shared" si="3"/>
        <v>934.12098414716615</v>
      </c>
      <c r="P55" s="91">
        <f t="shared" si="1"/>
        <v>4272.5736305039081</v>
      </c>
      <c r="Q55" s="152"/>
      <c r="R55" s="133"/>
      <c r="S55" s="153"/>
      <c r="T55" s="133"/>
      <c r="U55" s="152"/>
      <c r="V55" s="152"/>
      <c r="W55" s="152"/>
      <c r="X55" s="133"/>
      <c r="Y55" s="152"/>
      <c r="Z55" s="152"/>
      <c r="AA55" s="122"/>
      <c r="AB55" s="122"/>
      <c r="AC55" s="122"/>
      <c r="AD55" s="122"/>
      <c r="AE55" s="122"/>
      <c r="AF55" s="122"/>
      <c r="AG55" s="122"/>
      <c r="AH55" s="122"/>
      <c r="AI55" s="122"/>
      <c r="AJ55" s="122"/>
      <c r="AK55" s="122"/>
      <c r="AL55" s="122"/>
      <c r="AM55" s="122"/>
      <c r="AN55" s="122"/>
      <c r="AO55" s="122"/>
    </row>
    <row r="56" spans="2:41">
      <c r="B56" s="9">
        <v>52</v>
      </c>
      <c r="C56" s="49" t="s">
        <v>75</v>
      </c>
      <c r="D56" s="89">
        <v>3</v>
      </c>
      <c r="E56" s="508" t="s">
        <v>1621</v>
      </c>
      <c r="F56" s="140">
        <v>382.4900945936725</v>
      </c>
      <c r="G56" s="140"/>
      <c r="H56" s="140"/>
      <c r="I56" s="140">
        <v>1.1954659023975227</v>
      </c>
      <c r="J56" s="140">
        <v>1.3447802463885143</v>
      </c>
      <c r="K56" s="140">
        <v>38.7478339975086</v>
      </c>
      <c r="L56" s="140">
        <v>382.4900945936725</v>
      </c>
      <c r="M56" s="140">
        <v>5.6574259391335788</v>
      </c>
      <c r="N56" s="140">
        <v>19.202199764246334</v>
      </c>
      <c r="O56" s="91">
        <f t="shared" si="3"/>
        <v>5.6574259391335788</v>
      </c>
      <c r="P56" s="91">
        <f t="shared" si="1"/>
        <v>5.6574259391335788</v>
      </c>
      <c r="Q56" s="133"/>
      <c r="R56" s="133"/>
      <c r="S56" s="142"/>
      <c r="T56" s="133"/>
      <c r="U56" s="133"/>
      <c r="V56" s="133"/>
      <c r="W56" s="133"/>
      <c r="X56" s="133"/>
      <c r="Y56" s="133"/>
      <c r="Z56" s="133"/>
      <c r="AA56" s="122"/>
      <c r="AB56" s="122"/>
      <c r="AC56" s="122"/>
      <c r="AD56" s="122"/>
      <c r="AE56" s="122"/>
      <c r="AF56" s="122"/>
      <c r="AG56" s="122"/>
      <c r="AH56" s="122"/>
      <c r="AI56" s="122"/>
      <c r="AJ56" s="122"/>
      <c r="AK56" s="122"/>
      <c r="AL56" s="122"/>
      <c r="AM56" s="122"/>
      <c r="AN56" s="122"/>
      <c r="AO56" s="122"/>
    </row>
    <row r="57" spans="2:41">
      <c r="B57" s="9">
        <v>53</v>
      </c>
      <c r="C57" s="49" t="s">
        <v>65</v>
      </c>
      <c r="D57" s="89">
        <v>3</v>
      </c>
      <c r="E57" s="508" t="s">
        <v>1755</v>
      </c>
      <c r="F57" s="91">
        <v>508.14282521880813</v>
      </c>
      <c r="G57" s="91"/>
      <c r="H57" s="91"/>
      <c r="I57" s="91">
        <v>0.27705697094932996</v>
      </c>
      <c r="J57" s="91">
        <v>3.0979728535683431</v>
      </c>
      <c r="K57" s="91">
        <v>83.373644120094497</v>
      </c>
      <c r="L57" s="91">
        <v>508.14282521880813</v>
      </c>
      <c r="M57" s="91">
        <v>20.151702921410816</v>
      </c>
      <c r="N57" s="91">
        <v>65.709778712259649</v>
      </c>
      <c r="O57" s="91">
        <f t="shared" si="3"/>
        <v>20.151702921410816</v>
      </c>
      <c r="P57" s="91">
        <f t="shared" si="1"/>
        <v>20.151702921410816</v>
      </c>
      <c r="Q57" s="133"/>
      <c r="R57" s="133"/>
      <c r="S57" s="142"/>
      <c r="T57" s="133"/>
      <c r="U57" s="133"/>
      <c r="V57" s="133"/>
      <c r="W57" s="133"/>
      <c r="X57" s="133"/>
      <c r="Y57" s="133"/>
      <c r="Z57" s="133"/>
      <c r="AA57" s="122"/>
      <c r="AB57" s="122"/>
      <c r="AC57" s="122"/>
      <c r="AD57" s="122"/>
      <c r="AE57" s="122"/>
      <c r="AF57" s="122"/>
      <c r="AG57" s="122"/>
      <c r="AH57" s="122"/>
      <c r="AI57" s="122"/>
      <c r="AJ57" s="122"/>
      <c r="AK57" s="122"/>
      <c r="AL57" s="122"/>
      <c r="AM57" s="122"/>
      <c r="AN57" s="122"/>
      <c r="AO57" s="122"/>
    </row>
    <row r="58" spans="2:41">
      <c r="B58" s="9">
        <v>54</v>
      </c>
      <c r="C58" s="49" t="s">
        <v>71</v>
      </c>
      <c r="D58" s="89">
        <v>3</v>
      </c>
      <c r="E58" s="508" t="s">
        <v>1789</v>
      </c>
      <c r="F58" s="91">
        <v>15.021089814738501</v>
      </c>
      <c r="G58" s="141"/>
      <c r="H58" s="91"/>
      <c r="I58" s="91">
        <v>1.5449350894669549E-2</v>
      </c>
      <c r="J58" s="91">
        <v>3.8004413387872672E-2</v>
      </c>
      <c r="K58" s="91">
        <v>1.1262489616360283</v>
      </c>
      <c r="L58" s="91">
        <v>15.021089814738501</v>
      </c>
      <c r="M58" s="91">
        <v>0.24823560213161164</v>
      </c>
      <c r="N58" s="91">
        <v>0.83714168056598937</v>
      </c>
      <c r="O58" s="91">
        <f t="shared" si="3"/>
        <v>0.24823560213161164</v>
      </c>
      <c r="P58" s="91">
        <f t="shared" si="1"/>
        <v>0.24823560213161164</v>
      </c>
      <c r="Q58" s="133"/>
      <c r="R58" s="133"/>
      <c r="S58" s="142"/>
      <c r="T58" s="133"/>
      <c r="U58" s="133"/>
      <c r="V58" s="133"/>
      <c r="W58" s="133"/>
      <c r="X58" s="133"/>
      <c r="Y58" s="133"/>
      <c r="Z58" s="133"/>
      <c r="AA58" s="122"/>
      <c r="AB58" s="122"/>
      <c r="AC58" s="122"/>
      <c r="AD58" s="122"/>
      <c r="AE58" s="122"/>
      <c r="AF58" s="122"/>
      <c r="AG58" s="122"/>
      <c r="AH58" s="122"/>
      <c r="AI58" s="122"/>
      <c r="AJ58" s="122"/>
      <c r="AK58" s="122"/>
      <c r="AL58" s="122"/>
      <c r="AM58" s="122"/>
      <c r="AN58" s="122"/>
      <c r="AO58" s="122"/>
    </row>
    <row r="59" spans="2:41">
      <c r="B59" s="9">
        <v>55</v>
      </c>
      <c r="C59" s="49" t="s">
        <v>112</v>
      </c>
      <c r="D59" s="89" t="s">
        <v>582</v>
      </c>
      <c r="E59" s="508" t="s">
        <v>1780</v>
      </c>
      <c r="F59" s="144">
        <v>605.57477020829401</v>
      </c>
      <c r="G59" s="91"/>
      <c r="H59" s="91"/>
      <c r="I59" s="91">
        <v>0.75146781827910769</v>
      </c>
      <c r="J59" s="144">
        <v>406.17269749989418</v>
      </c>
      <c r="K59" s="144">
        <v>564.0444958810391</v>
      </c>
      <c r="L59" s="144">
        <v>605.57477020829401</v>
      </c>
      <c r="M59" s="144">
        <v>1509.2718042480315</v>
      </c>
      <c r="N59" s="144">
        <v>1121.8757047255683</v>
      </c>
      <c r="O59" s="91">
        <f t="shared" si="3"/>
        <v>564.0444958810391</v>
      </c>
      <c r="P59" s="91">
        <f t="shared" si="1"/>
        <v>1121.8757047255683</v>
      </c>
      <c r="Q59" s="152"/>
      <c r="R59" s="133"/>
      <c r="S59" s="153"/>
      <c r="T59" s="133"/>
      <c r="U59" s="152"/>
      <c r="V59" s="152"/>
      <c r="W59" s="152"/>
      <c r="X59" s="133"/>
      <c r="Y59" s="152"/>
      <c r="Z59" s="152"/>
      <c r="AA59" s="122"/>
      <c r="AB59" s="122"/>
      <c r="AC59" s="122"/>
      <c r="AD59" s="122"/>
      <c r="AE59" s="122"/>
      <c r="AF59" s="122"/>
      <c r="AG59" s="122"/>
      <c r="AH59" s="122"/>
      <c r="AI59" s="122"/>
      <c r="AJ59" s="122"/>
      <c r="AK59" s="122"/>
      <c r="AL59" s="122"/>
      <c r="AM59" s="122"/>
      <c r="AN59" s="122"/>
      <c r="AO59" s="122"/>
    </row>
    <row r="60" spans="2:41">
      <c r="B60" s="9">
        <v>56</v>
      </c>
      <c r="C60" s="136" t="s">
        <v>351</v>
      </c>
      <c r="D60" s="89" t="s">
        <v>581</v>
      </c>
      <c r="E60" s="508" t="s">
        <v>1690</v>
      </c>
      <c r="F60" s="144"/>
      <c r="G60" s="91"/>
      <c r="H60" s="91"/>
      <c r="I60" s="91"/>
      <c r="J60" s="144"/>
      <c r="K60" s="144"/>
      <c r="L60" s="144"/>
      <c r="M60" s="144"/>
      <c r="N60" s="144"/>
      <c r="O60" s="91"/>
      <c r="P60" s="91"/>
      <c r="Q60" s="152"/>
      <c r="R60" s="133"/>
      <c r="S60" s="153"/>
      <c r="T60" s="133"/>
      <c r="U60" s="152"/>
      <c r="V60" s="152"/>
      <c r="W60" s="152"/>
      <c r="X60" s="133"/>
      <c r="Y60" s="152"/>
      <c r="Z60" s="152"/>
      <c r="AA60" s="122"/>
      <c r="AB60" s="122"/>
      <c r="AC60" s="122"/>
      <c r="AD60" s="122"/>
      <c r="AE60" s="122"/>
      <c r="AF60" s="122"/>
      <c r="AG60" s="122"/>
      <c r="AH60" s="122"/>
      <c r="AI60" s="122"/>
      <c r="AJ60" s="122"/>
      <c r="AK60" s="122"/>
      <c r="AL60" s="122"/>
      <c r="AM60" s="122"/>
      <c r="AN60" s="122"/>
      <c r="AO60" s="122"/>
    </row>
    <row r="61" spans="2:41">
      <c r="B61" s="9">
        <v>57</v>
      </c>
      <c r="C61" s="49" t="s">
        <v>185</v>
      </c>
      <c r="D61" s="89" t="s">
        <v>581</v>
      </c>
      <c r="E61" s="508" t="s">
        <v>1748</v>
      </c>
      <c r="F61" s="144">
        <v>990.46864193300132</v>
      </c>
      <c r="G61" s="91"/>
      <c r="H61" s="91"/>
      <c r="I61" s="91">
        <v>0.84004848462143333</v>
      </c>
      <c r="J61" s="144">
        <v>378.34290837006995</v>
      </c>
      <c r="K61" s="144">
        <v>67.546853597359629</v>
      </c>
      <c r="L61" s="144">
        <v>990.46864193300132</v>
      </c>
      <c r="M61" s="144">
        <v>1951.2968953840964</v>
      </c>
      <c r="N61" s="144">
        <v>1446.0742701590618</v>
      </c>
      <c r="O61" s="91">
        <f t="shared" ref="O61:O75" si="4">MIN(K61,L61,M61,N61)</f>
        <v>67.546853597359629</v>
      </c>
      <c r="P61" s="91">
        <f t="shared" si="1"/>
        <v>1446.0742701590618</v>
      </c>
      <c r="Q61" s="152"/>
      <c r="R61" s="133"/>
      <c r="S61" s="153"/>
      <c r="T61" s="133"/>
      <c r="U61" s="152"/>
      <c r="V61" s="152"/>
      <c r="W61" s="152"/>
      <c r="X61" s="133"/>
      <c r="Y61" s="152"/>
      <c r="Z61" s="152"/>
      <c r="AA61" s="122"/>
      <c r="AB61" s="122"/>
      <c r="AC61" s="122"/>
      <c r="AD61" s="122"/>
      <c r="AE61" s="122"/>
      <c r="AF61" s="122"/>
      <c r="AG61" s="122"/>
      <c r="AH61" s="122"/>
      <c r="AI61" s="122"/>
      <c r="AJ61" s="122"/>
      <c r="AK61" s="122"/>
      <c r="AL61" s="122"/>
      <c r="AM61" s="122"/>
      <c r="AN61" s="122"/>
      <c r="AO61" s="122"/>
    </row>
    <row r="62" spans="2:41">
      <c r="B62" s="9">
        <v>58</v>
      </c>
      <c r="C62" s="49" t="s">
        <v>64</v>
      </c>
      <c r="D62" s="89" t="s">
        <v>582</v>
      </c>
      <c r="E62" s="508" t="s">
        <v>1754</v>
      </c>
      <c r="F62" s="144">
        <v>144.88617343434186</v>
      </c>
      <c r="G62" s="91"/>
      <c r="H62" s="91"/>
      <c r="I62" s="91">
        <v>7.3188110518551105E-2</v>
      </c>
      <c r="J62" s="144">
        <v>103.99590411868456</v>
      </c>
      <c r="K62" s="144">
        <v>144.88617343434186</v>
      </c>
      <c r="L62" s="144">
        <v>144.88617343434186</v>
      </c>
      <c r="M62" s="144">
        <v>361.62309257847369</v>
      </c>
      <c r="N62" s="144">
        <v>267.9929696552631</v>
      </c>
      <c r="O62" s="91">
        <f t="shared" si="4"/>
        <v>144.88617343434186</v>
      </c>
      <c r="P62" s="91">
        <f t="shared" si="1"/>
        <v>267.9929696552631</v>
      </c>
      <c r="Q62" s="152"/>
      <c r="R62" s="133"/>
      <c r="S62" s="153"/>
      <c r="T62" s="133"/>
      <c r="U62" s="152"/>
      <c r="V62" s="152"/>
      <c r="W62" s="152"/>
      <c r="X62" s="133"/>
      <c r="Y62" s="152"/>
      <c r="Z62" s="152"/>
      <c r="AA62" s="122"/>
      <c r="AB62" s="122"/>
      <c r="AC62" s="122"/>
      <c r="AD62" s="122"/>
      <c r="AE62" s="122"/>
      <c r="AF62" s="122"/>
      <c r="AG62" s="122"/>
      <c r="AH62" s="122"/>
      <c r="AI62" s="122"/>
      <c r="AJ62" s="122"/>
      <c r="AK62" s="122"/>
      <c r="AL62" s="122"/>
      <c r="AM62" s="122"/>
      <c r="AN62" s="122"/>
      <c r="AO62" s="122"/>
    </row>
    <row r="63" spans="2:41">
      <c r="B63" s="9">
        <v>59</v>
      </c>
      <c r="C63" s="49" t="s">
        <v>213</v>
      </c>
      <c r="D63" s="89" t="s">
        <v>581</v>
      </c>
      <c r="E63" s="508" t="s">
        <v>1736</v>
      </c>
      <c r="F63" s="144">
        <v>121.43572793913158</v>
      </c>
      <c r="G63" s="91"/>
      <c r="H63" s="91"/>
      <c r="I63" s="91">
        <v>4.3089112380343395E-2</v>
      </c>
      <c r="J63" s="144">
        <v>89.655172413793096</v>
      </c>
      <c r="K63" s="144">
        <v>136.43178410794602</v>
      </c>
      <c r="L63" s="144">
        <v>136.43178410794602</v>
      </c>
      <c r="M63" s="144">
        <v>808.8888888888888</v>
      </c>
      <c r="N63" s="144">
        <v>808.8888888888888</v>
      </c>
      <c r="O63" s="91">
        <f t="shared" si="4"/>
        <v>136.43178410794602</v>
      </c>
      <c r="P63" s="91">
        <f t="shared" si="1"/>
        <v>808.8888888888888</v>
      </c>
      <c r="Q63" s="152"/>
      <c r="R63" s="133"/>
      <c r="S63" s="153"/>
      <c r="T63" s="133"/>
      <c r="U63" s="152"/>
      <c r="V63" s="152"/>
      <c r="W63" s="152"/>
      <c r="X63" s="133"/>
      <c r="Y63" s="152"/>
      <c r="Z63" s="152"/>
      <c r="AA63" s="122"/>
      <c r="AB63" s="122"/>
      <c r="AC63" s="122"/>
      <c r="AD63" s="122"/>
      <c r="AE63" s="122"/>
      <c r="AF63" s="122"/>
      <c r="AG63" s="122"/>
      <c r="AH63" s="122"/>
      <c r="AI63" s="122"/>
      <c r="AJ63" s="122"/>
      <c r="AK63" s="122"/>
      <c r="AL63" s="122"/>
      <c r="AM63" s="122"/>
      <c r="AN63" s="122"/>
      <c r="AO63" s="122"/>
    </row>
    <row r="64" spans="2:41">
      <c r="B64" s="9">
        <v>60</v>
      </c>
      <c r="C64" s="49" t="s">
        <v>214</v>
      </c>
      <c r="D64" s="89" t="s">
        <v>581</v>
      </c>
      <c r="E64" s="508" t="s">
        <v>1750</v>
      </c>
      <c r="F64" s="144">
        <v>4086.7793056438518</v>
      </c>
      <c r="G64" s="91"/>
      <c r="H64" s="91"/>
      <c r="I64" s="91">
        <v>1.4501143589538643</v>
      </c>
      <c r="J64" s="144">
        <v>3017.2413793103447</v>
      </c>
      <c r="K64" s="144">
        <v>4591.4542728635688</v>
      </c>
      <c r="L64" s="144">
        <v>4591.4542728635688</v>
      </c>
      <c r="M64" s="144">
        <v>27222.222222222219</v>
      </c>
      <c r="N64" s="144">
        <v>27222.222222222219</v>
      </c>
      <c r="O64" s="91">
        <f t="shared" si="4"/>
        <v>4591.4542728635688</v>
      </c>
      <c r="P64" s="91">
        <f t="shared" si="1"/>
        <v>27222.222222222219</v>
      </c>
      <c r="Q64" s="152"/>
      <c r="R64" s="133"/>
      <c r="S64" s="153"/>
      <c r="T64" s="133"/>
      <c r="U64" s="152"/>
      <c r="V64" s="152"/>
      <c r="W64" s="152"/>
      <c r="X64" s="133"/>
      <c r="Y64" s="152"/>
      <c r="Z64" s="152"/>
      <c r="AA64" s="122"/>
      <c r="AB64" s="122"/>
      <c r="AC64" s="122"/>
      <c r="AD64" s="122"/>
      <c r="AE64" s="122"/>
      <c r="AF64" s="122"/>
      <c r="AG64" s="122"/>
      <c r="AH64" s="122"/>
      <c r="AI64" s="122"/>
      <c r="AJ64" s="122"/>
      <c r="AK64" s="122"/>
      <c r="AL64" s="122"/>
      <c r="AM64" s="122"/>
      <c r="AN64" s="122"/>
      <c r="AO64" s="122"/>
    </row>
    <row r="65" spans="2:41">
      <c r="B65" s="9">
        <v>61</v>
      </c>
      <c r="C65" s="49" t="s">
        <v>215</v>
      </c>
      <c r="D65" s="89" t="s">
        <v>581</v>
      </c>
      <c r="E65" s="508" t="s">
        <v>1923</v>
      </c>
      <c r="F65" s="144">
        <v>140118.1476220749</v>
      </c>
      <c r="G65" s="91"/>
      <c r="H65" s="91"/>
      <c r="I65" s="91">
        <v>49.718206592703915</v>
      </c>
      <c r="J65" s="144">
        <v>103448.27586206894</v>
      </c>
      <c r="K65" s="144">
        <v>157421.28935532231</v>
      </c>
      <c r="L65" s="144">
        <v>157421.28935532231</v>
      </c>
      <c r="M65" s="144">
        <v>933333.33333333326</v>
      </c>
      <c r="N65" s="144">
        <v>933333.33333333326</v>
      </c>
      <c r="O65" s="91">
        <f t="shared" si="4"/>
        <v>157421.28935532231</v>
      </c>
      <c r="P65" s="91">
        <f t="shared" si="1"/>
        <v>933333.33333333326</v>
      </c>
      <c r="Q65" s="152"/>
      <c r="R65" s="133"/>
      <c r="S65" s="153"/>
      <c r="T65" s="133"/>
      <c r="U65" s="152"/>
      <c r="V65" s="152"/>
      <c r="W65" s="152"/>
      <c r="X65" s="133"/>
      <c r="Y65" s="152"/>
      <c r="Z65" s="152"/>
      <c r="AA65" s="122"/>
      <c r="AB65" s="122"/>
      <c r="AC65" s="122"/>
      <c r="AD65" s="122"/>
      <c r="AE65" s="122"/>
      <c r="AF65" s="122"/>
      <c r="AG65" s="122"/>
      <c r="AH65" s="122"/>
      <c r="AI65" s="122"/>
      <c r="AJ65" s="122"/>
      <c r="AK65" s="122"/>
      <c r="AL65" s="122"/>
      <c r="AM65" s="122"/>
      <c r="AN65" s="122"/>
      <c r="AO65" s="122"/>
    </row>
    <row r="66" spans="2:41">
      <c r="B66" s="9">
        <v>62</v>
      </c>
      <c r="C66" s="49" t="s">
        <v>356</v>
      </c>
      <c r="D66" s="89" t="s">
        <v>581</v>
      </c>
      <c r="E66" s="508" t="s">
        <v>1746</v>
      </c>
      <c r="F66" s="144">
        <v>3502.9536905518726</v>
      </c>
      <c r="G66" s="91"/>
      <c r="H66" s="91"/>
      <c r="I66" s="91">
        <v>355.91439281548418</v>
      </c>
      <c r="J66" s="144">
        <v>2400.553087431344</v>
      </c>
      <c r="K66" s="144">
        <v>3502.9536905518726</v>
      </c>
      <c r="L66" s="144">
        <v>3502.9536905518726</v>
      </c>
      <c r="M66" s="144">
        <v>21619.894892013035</v>
      </c>
      <c r="N66" s="144">
        <v>16022.151114389655</v>
      </c>
      <c r="O66" s="91">
        <f t="shared" si="4"/>
        <v>3502.9536905518726</v>
      </c>
      <c r="P66" s="91">
        <f t="shared" si="1"/>
        <v>16022.151114389655</v>
      </c>
      <c r="Q66" s="152"/>
      <c r="R66" s="133"/>
      <c r="S66" s="153"/>
      <c r="T66" s="133"/>
      <c r="U66" s="152"/>
      <c r="V66" s="152"/>
      <c r="W66" s="152"/>
      <c r="X66" s="133"/>
      <c r="Y66" s="152"/>
      <c r="Z66" s="152"/>
      <c r="AA66" s="122"/>
      <c r="AB66" s="122"/>
      <c r="AC66" s="122"/>
      <c r="AD66" s="122"/>
      <c r="AE66" s="122"/>
      <c r="AF66" s="122"/>
      <c r="AG66" s="122"/>
      <c r="AH66" s="122"/>
      <c r="AI66" s="122"/>
      <c r="AJ66" s="122"/>
      <c r="AK66" s="122"/>
      <c r="AL66" s="122"/>
      <c r="AM66" s="122"/>
      <c r="AN66" s="122"/>
      <c r="AO66" s="122"/>
    </row>
    <row r="67" spans="2:41">
      <c r="B67" s="9">
        <v>63</v>
      </c>
      <c r="C67" s="49" t="s">
        <v>59</v>
      </c>
      <c r="D67" s="89" t="s">
        <v>581</v>
      </c>
      <c r="E67" s="508" t="s">
        <v>1664</v>
      </c>
      <c r="F67" s="144">
        <v>4670.6049207358301</v>
      </c>
      <c r="G67" s="91"/>
      <c r="H67" s="91"/>
      <c r="I67" s="91">
        <v>4.719137496922797</v>
      </c>
      <c r="J67" s="144">
        <v>3200.737449908459</v>
      </c>
      <c r="K67" s="144">
        <v>4670.6049207358301</v>
      </c>
      <c r="L67" s="144">
        <v>4670.6049207358301</v>
      </c>
      <c r="M67" s="144">
        <v>28826.526522684046</v>
      </c>
      <c r="N67" s="144">
        <v>21362.868152519542</v>
      </c>
      <c r="O67" s="91">
        <f t="shared" si="4"/>
        <v>4670.6049207358301</v>
      </c>
      <c r="P67" s="91">
        <f t="shared" si="1"/>
        <v>21362.868152519542</v>
      </c>
      <c r="Q67" s="152"/>
      <c r="R67" s="133"/>
      <c r="S67" s="153"/>
      <c r="T67" s="133"/>
      <c r="U67" s="152"/>
      <c r="V67" s="152"/>
      <c r="W67" s="152"/>
      <c r="X67" s="133"/>
      <c r="Y67" s="152"/>
      <c r="Z67" s="152"/>
      <c r="AA67" s="122"/>
      <c r="AB67" s="122"/>
      <c r="AC67" s="122"/>
      <c r="AD67" s="122"/>
      <c r="AE67" s="122"/>
      <c r="AF67" s="122"/>
      <c r="AG67" s="122"/>
      <c r="AH67" s="122"/>
      <c r="AI67" s="122"/>
      <c r="AJ67" s="122"/>
      <c r="AK67" s="122"/>
      <c r="AL67" s="122"/>
      <c r="AM67" s="122"/>
      <c r="AN67" s="122"/>
      <c r="AO67" s="122"/>
    </row>
    <row r="68" spans="2:41">
      <c r="B68" s="9">
        <v>64</v>
      </c>
      <c r="C68" s="49" t="s">
        <v>63</v>
      </c>
      <c r="D68" s="89" t="s">
        <v>581</v>
      </c>
      <c r="E68" s="508" t="s">
        <v>1753</v>
      </c>
      <c r="F68" s="144">
        <v>1609.0537909578038</v>
      </c>
      <c r="G68" s="91"/>
      <c r="H68" s="91"/>
      <c r="I68" s="91">
        <v>1.0124928703594012</v>
      </c>
      <c r="J68" s="144">
        <v>32.042257525561006</v>
      </c>
      <c r="K68" s="144">
        <v>624.6150608034543</v>
      </c>
      <c r="L68" s="144">
        <v>1609.0537909578038</v>
      </c>
      <c r="M68" s="144">
        <v>136.63541716980768</v>
      </c>
      <c r="N68" s="144">
        <v>443.33564018849478</v>
      </c>
      <c r="O68" s="91">
        <f t="shared" si="4"/>
        <v>136.63541716980768</v>
      </c>
      <c r="P68" s="91">
        <f t="shared" si="1"/>
        <v>136.63541716980768</v>
      </c>
      <c r="Q68" s="152"/>
      <c r="R68" s="133"/>
      <c r="S68" s="153"/>
      <c r="T68" s="133"/>
      <c r="U68" s="152"/>
      <c r="V68" s="152"/>
      <c r="W68" s="152"/>
      <c r="X68" s="133"/>
      <c r="Y68" s="152"/>
      <c r="Z68" s="152"/>
      <c r="AA68" s="122"/>
      <c r="AB68" s="122"/>
      <c r="AC68" s="122"/>
      <c r="AD68" s="122"/>
      <c r="AE68" s="122"/>
      <c r="AF68" s="122"/>
      <c r="AG68" s="122"/>
      <c r="AH68" s="122"/>
      <c r="AI68" s="122"/>
      <c r="AJ68" s="122"/>
      <c r="AK68" s="122"/>
      <c r="AL68" s="122"/>
      <c r="AM68" s="122"/>
      <c r="AN68" s="122"/>
      <c r="AO68" s="122"/>
    </row>
    <row r="69" spans="2:41">
      <c r="B69" s="9">
        <v>65</v>
      </c>
      <c r="C69" s="49" t="s">
        <v>83</v>
      </c>
      <c r="D69" s="89">
        <v>3</v>
      </c>
      <c r="E69" s="508" t="s">
        <v>522</v>
      </c>
      <c r="F69" s="151">
        <v>1.832819893482923</v>
      </c>
      <c r="G69" s="91"/>
      <c r="H69" s="91"/>
      <c r="I69" s="91">
        <v>0.16371629283303474</v>
      </c>
      <c r="J69" s="151">
        <v>1.7816786556896016</v>
      </c>
      <c r="K69" s="151">
        <v>1.7864029036345181</v>
      </c>
      <c r="L69" s="151">
        <v>1.832819893482923</v>
      </c>
      <c r="M69" s="151">
        <v>4.2174662325288672</v>
      </c>
      <c r="N69" s="151">
        <v>4.2329768719932153</v>
      </c>
      <c r="O69" s="91">
        <f t="shared" si="4"/>
        <v>1.7864029036345181</v>
      </c>
      <c r="P69" s="91">
        <f>MIN(M69,N69)</f>
        <v>4.2174662325288672</v>
      </c>
      <c r="Q69" s="154"/>
      <c r="R69" s="133"/>
      <c r="S69" s="153"/>
      <c r="T69" s="133"/>
      <c r="U69" s="154"/>
      <c r="V69" s="154"/>
      <c r="W69" s="154"/>
      <c r="X69" s="133"/>
      <c r="Y69" s="154"/>
      <c r="Z69" s="154"/>
      <c r="AA69" s="122"/>
      <c r="AB69" s="122"/>
      <c r="AC69" s="122"/>
      <c r="AD69" s="122"/>
      <c r="AE69" s="122"/>
      <c r="AF69" s="122"/>
      <c r="AG69" s="122"/>
      <c r="AH69" s="122"/>
      <c r="AI69" s="122"/>
      <c r="AJ69" s="122"/>
      <c r="AK69" s="122"/>
      <c r="AL69" s="122"/>
      <c r="AM69" s="122"/>
      <c r="AN69" s="122"/>
      <c r="AO69" s="122"/>
    </row>
    <row r="70" spans="2:41">
      <c r="B70" s="9">
        <v>66</v>
      </c>
      <c r="C70" s="49" t="s">
        <v>120</v>
      </c>
      <c r="D70" s="89">
        <v>1</v>
      </c>
      <c r="E70" s="508" t="s">
        <v>1829</v>
      </c>
      <c r="F70" s="144">
        <v>34.394049259459088</v>
      </c>
      <c r="G70" s="91"/>
      <c r="H70" s="91"/>
      <c r="I70" s="91">
        <v>7.3805953171670241E-2</v>
      </c>
      <c r="J70" s="91">
        <v>7.3805953171670241E-2</v>
      </c>
      <c r="K70" s="91">
        <v>0.61356330615893095</v>
      </c>
      <c r="L70" s="144">
        <v>34.394048103673271</v>
      </c>
      <c r="M70" s="91">
        <v>0.45072403497427532</v>
      </c>
      <c r="N70" s="91">
        <v>1.2651643217879196</v>
      </c>
      <c r="O70" s="91">
        <f t="shared" si="4"/>
        <v>0.45072403497427532</v>
      </c>
      <c r="P70" s="91">
        <f>MIN(M70,N70)</f>
        <v>0.45072403497427532</v>
      </c>
      <c r="Q70" s="152"/>
      <c r="R70" s="133"/>
      <c r="S70" s="153"/>
      <c r="T70" s="133"/>
      <c r="U70" s="133"/>
      <c r="V70" s="133"/>
      <c r="W70" s="152"/>
      <c r="X70" s="133"/>
      <c r="Y70" s="133"/>
      <c r="Z70" s="154"/>
      <c r="AA70" s="122"/>
      <c r="AB70" s="122"/>
      <c r="AC70" s="122"/>
      <c r="AD70" s="122"/>
      <c r="AE70" s="122"/>
      <c r="AF70" s="122"/>
      <c r="AG70" s="122"/>
      <c r="AH70" s="122"/>
      <c r="AI70" s="122"/>
      <c r="AJ70" s="122"/>
      <c r="AK70" s="122"/>
      <c r="AL70" s="122"/>
      <c r="AM70" s="122"/>
      <c r="AN70" s="122"/>
      <c r="AO70" s="122"/>
    </row>
    <row r="71" spans="2:41">
      <c r="B71" s="9">
        <v>67</v>
      </c>
      <c r="C71" s="49" t="s">
        <v>121</v>
      </c>
      <c r="D71" s="89" t="s">
        <v>582</v>
      </c>
      <c r="E71" s="508" t="s">
        <v>1713</v>
      </c>
      <c r="F71" s="144">
        <v>204.41607069736952</v>
      </c>
      <c r="G71" s="91"/>
      <c r="H71" s="91"/>
      <c r="I71" s="91">
        <v>0.62479461662108426</v>
      </c>
      <c r="J71" s="91">
        <v>0.62479461662108426</v>
      </c>
      <c r="K71" s="151">
        <v>4.0008295387835844</v>
      </c>
      <c r="L71" s="144">
        <v>204.41607069736952</v>
      </c>
      <c r="M71" s="151">
        <v>3.7178596696856796</v>
      </c>
      <c r="N71" s="151">
        <v>9.7244996958550178</v>
      </c>
      <c r="O71" s="91">
        <f t="shared" si="4"/>
        <v>3.7178596696856796</v>
      </c>
      <c r="P71" s="91">
        <f>MIN(M71,N71)</f>
        <v>3.7178596696856796</v>
      </c>
      <c r="Q71" s="152"/>
      <c r="R71" s="133"/>
      <c r="S71" s="153"/>
      <c r="T71" s="133"/>
      <c r="U71" s="154"/>
      <c r="V71" s="154"/>
      <c r="W71" s="152"/>
      <c r="X71" s="133"/>
      <c r="Y71" s="154"/>
      <c r="Z71" s="152"/>
      <c r="AA71" s="122"/>
      <c r="AB71" s="122"/>
      <c r="AC71" s="122"/>
      <c r="AD71" s="122"/>
      <c r="AE71" s="122"/>
      <c r="AF71" s="122"/>
      <c r="AG71" s="122"/>
      <c r="AH71" s="122"/>
      <c r="AI71" s="122"/>
      <c r="AJ71" s="122"/>
      <c r="AK71" s="122"/>
      <c r="AL71" s="122"/>
      <c r="AM71" s="122"/>
      <c r="AN71" s="122"/>
      <c r="AO71" s="122"/>
    </row>
    <row r="72" spans="2:41">
      <c r="B72" s="9">
        <v>68</v>
      </c>
      <c r="C72" s="49" t="s">
        <v>357</v>
      </c>
      <c r="D72" s="89" t="s">
        <v>583</v>
      </c>
      <c r="E72" s="508" t="s">
        <v>1800</v>
      </c>
      <c r="F72" s="144">
        <v>1428.3611679979356</v>
      </c>
      <c r="G72" s="91"/>
      <c r="H72" s="91"/>
      <c r="I72" s="91">
        <v>12.710423021821594</v>
      </c>
      <c r="J72" s="91">
        <v>12.710423021821594</v>
      </c>
      <c r="K72" s="151">
        <v>318.26556560166182</v>
      </c>
      <c r="L72" s="144">
        <v>1428.3594717566777</v>
      </c>
      <c r="M72" s="151">
        <v>53.602315901430899</v>
      </c>
      <c r="N72" s="144">
        <v>173.53510812509646</v>
      </c>
      <c r="O72" s="91">
        <f t="shared" si="4"/>
        <v>53.602315901430899</v>
      </c>
      <c r="P72" s="91">
        <f>MIN(M72,N72)</f>
        <v>53.602315901430899</v>
      </c>
      <c r="Q72" s="152"/>
      <c r="R72" s="133"/>
      <c r="S72" s="153"/>
      <c r="T72" s="133"/>
      <c r="U72" s="154"/>
      <c r="V72" s="154"/>
      <c r="W72" s="152"/>
      <c r="X72" s="133"/>
      <c r="Y72" s="154"/>
      <c r="Z72" s="152"/>
      <c r="AA72" s="122"/>
      <c r="AB72" s="122"/>
      <c r="AC72" s="122"/>
      <c r="AD72" s="122"/>
      <c r="AE72" s="122"/>
      <c r="AF72" s="122"/>
      <c r="AG72" s="122"/>
      <c r="AH72" s="122"/>
      <c r="AI72" s="122"/>
      <c r="AJ72" s="122"/>
      <c r="AK72" s="122"/>
      <c r="AL72" s="122"/>
      <c r="AM72" s="122"/>
      <c r="AN72" s="122"/>
      <c r="AO72" s="122"/>
    </row>
    <row r="73" spans="2:41">
      <c r="B73" s="9">
        <v>69</v>
      </c>
      <c r="C73" s="49" t="s">
        <v>216</v>
      </c>
      <c r="D73" s="89" t="s">
        <v>581</v>
      </c>
      <c r="E73" s="508" t="s">
        <v>1734</v>
      </c>
      <c r="F73" s="144">
        <v>410.06311427601264</v>
      </c>
      <c r="G73" s="91"/>
      <c r="H73" s="91"/>
      <c r="I73" s="145">
        <v>1.5044156972875373</v>
      </c>
      <c r="J73" s="151">
        <v>1.5044156972875373</v>
      </c>
      <c r="K73" s="151">
        <v>43.16201634180392</v>
      </c>
      <c r="L73" s="144">
        <v>410.21686972396702</v>
      </c>
      <c r="M73" s="151">
        <v>6.3292102465827451</v>
      </c>
      <c r="N73" s="144">
        <v>21.437985150240674</v>
      </c>
      <c r="O73" s="91">
        <f t="shared" si="4"/>
        <v>6.3292102465827451</v>
      </c>
      <c r="P73" s="91">
        <f>MIN(M73,N73)</f>
        <v>6.3292102465827451</v>
      </c>
      <c r="Q73" s="152"/>
      <c r="R73" s="133"/>
      <c r="S73" s="153"/>
      <c r="T73" s="133"/>
      <c r="U73" s="154"/>
      <c r="V73" s="154"/>
      <c r="W73" s="152"/>
      <c r="X73" s="133"/>
      <c r="Y73" s="154"/>
      <c r="Z73" s="152"/>
      <c r="AA73" s="122"/>
      <c r="AB73" s="122"/>
      <c r="AC73" s="122"/>
      <c r="AD73" s="122"/>
      <c r="AE73" s="122"/>
      <c r="AF73" s="122"/>
      <c r="AG73" s="122"/>
      <c r="AH73" s="122"/>
      <c r="AI73" s="122"/>
      <c r="AJ73" s="122"/>
      <c r="AK73" s="122"/>
      <c r="AL73" s="122"/>
      <c r="AM73" s="122"/>
      <c r="AN73" s="122"/>
      <c r="AO73" s="122"/>
    </row>
    <row r="74" spans="2:41">
      <c r="B74" s="89" t="s">
        <v>352</v>
      </c>
      <c r="C74" s="60" t="s">
        <v>358</v>
      </c>
      <c r="D74" s="89" t="s">
        <v>581</v>
      </c>
      <c r="E74" s="508" t="s">
        <v>359</v>
      </c>
      <c r="F74" s="144"/>
      <c r="G74" s="91"/>
      <c r="H74" s="91"/>
      <c r="I74" s="145"/>
      <c r="J74" s="151"/>
      <c r="K74" s="151"/>
      <c r="L74" s="144"/>
      <c r="M74" s="151"/>
      <c r="N74" s="144"/>
      <c r="O74" s="91"/>
      <c r="P74" s="91"/>
      <c r="Q74" s="152"/>
      <c r="R74" s="133"/>
      <c r="S74" s="153"/>
      <c r="T74" s="133"/>
      <c r="U74" s="154"/>
      <c r="V74" s="154"/>
      <c r="W74" s="152"/>
      <c r="X74" s="133"/>
      <c r="Y74" s="154"/>
      <c r="Z74" s="152"/>
      <c r="AA74" s="122"/>
      <c r="AB74" s="122"/>
      <c r="AC74" s="122"/>
      <c r="AD74" s="122"/>
      <c r="AE74" s="122"/>
      <c r="AF74" s="122"/>
      <c r="AG74" s="122"/>
      <c r="AH74" s="122"/>
      <c r="AI74" s="122"/>
      <c r="AJ74" s="122"/>
      <c r="AK74" s="122"/>
      <c r="AL74" s="122"/>
      <c r="AM74" s="122"/>
      <c r="AN74" s="122"/>
      <c r="AO74" s="122"/>
    </row>
    <row r="75" spans="2:41">
      <c r="B75" s="9">
        <v>70</v>
      </c>
      <c r="C75" s="49" t="s">
        <v>218</v>
      </c>
      <c r="D75" s="89" t="s">
        <v>581</v>
      </c>
      <c r="E75" s="508" t="s">
        <v>1721</v>
      </c>
      <c r="F75" s="144">
        <v>35.889258034729515</v>
      </c>
      <c r="G75" s="91"/>
      <c r="H75" s="91"/>
      <c r="I75" s="91">
        <v>0.22818009110638532</v>
      </c>
      <c r="J75" s="91">
        <v>0.22818055428653763</v>
      </c>
      <c r="K75" s="151">
        <v>6.0865157944770658</v>
      </c>
      <c r="L75" s="144">
        <v>35.765570557741341</v>
      </c>
      <c r="M75" s="91">
        <v>0.96117761066083252</v>
      </c>
      <c r="N75" s="151">
        <v>3.1799906483916236</v>
      </c>
      <c r="O75" s="91">
        <f t="shared" si="4"/>
        <v>0.96117761066083252</v>
      </c>
      <c r="P75" s="91">
        <f>MIN(M75,N75)</f>
        <v>0.96117761066083252</v>
      </c>
      <c r="Q75" s="152"/>
      <c r="R75" s="133"/>
      <c r="S75" s="153"/>
      <c r="T75" s="133"/>
      <c r="U75" s="154"/>
      <c r="V75" s="154"/>
      <c r="W75" s="152"/>
      <c r="X75" s="133"/>
      <c r="Y75" s="154"/>
      <c r="Z75" s="152"/>
      <c r="AA75" s="122"/>
      <c r="AB75" s="122"/>
      <c r="AC75" s="122"/>
      <c r="AD75" s="122"/>
      <c r="AE75" s="122"/>
      <c r="AF75" s="122"/>
      <c r="AG75" s="122"/>
      <c r="AH75" s="122"/>
      <c r="AI75" s="122"/>
      <c r="AJ75" s="122"/>
      <c r="AK75" s="122"/>
      <c r="AL75" s="122"/>
      <c r="AM75" s="122"/>
      <c r="AN75" s="122"/>
      <c r="AO75" s="122"/>
    </row>
    <row r="76" spans="2:41">
      <c r="B76" s="89" t="s">
        <v>526</v>
      </c>
      <c r="C76" s="60" t="s">
        <v>360</v>
      </c>
      <c r="D76" s="89">
        <v>3</v>
      </c>
      <c r="E76" s="508" t="s">
        <v>1828</v>
      </c>
      <c r="F76" s="144"/>
      <c r="G76" s="91"/>
      <c r="H76" s="91"/>
      <c r="I76" s="91"/>
      <c r="J76" s="91"/>
      <c r="K76" s="151"/>
      <c r="L76" s="144"/>
      <c r="M76" s="91"/>
      <c r="N76" s="151"/>
      <c r="O76" s="91"/>
      <c r="P76" s="91"/>
      <c r="Q76" s="152"/>
      <c r="R76" s="133"/>
      <c r="S76" s="153"/>
      <c r="T76" s="133"/>
      <c r="U76" s="154"/>
      <c r="V76" s="154"/>
      <c r="W76" s="152"/>
      <c r="X76" s="133"/>
      <c r="Y76" s="154"/>
      <c r="Z76" s="152"/>
      <c r="AA76" s="122"/>
      <c r="AB76" s="122"/>
      <c r="AC76" s="122"/>
      <c r="AD76" s="122"/>
      <c r="AE76" s="122"/>
      <c r="AF76" s="122"/>
      <c r="AG76" s="122"/>
      <c r="AH76" s="122"/>
      <c r="AI76" s="122"/>
      <c r="AJ76" s="122"/>
      <c r="AK76" s="122"/>
      <c r="AL76" s="122"/>
      <c r="AM76" s="122"/>
      <c r="AN76" s="122"/>
      <c r="AO76" s="122"/>
    </row>
    <row r="77" spans="2:41">
      <c r="B77" s="9">
        <v>71</v>
      </c>
      <c r="C77" s="49" t="s">
        <v>221</v>
      </c>
      <c r="D77" s="89">
        <v>3</v>
      </c>
      <c r="E77" s="508" t="s">
        <v>1719</v>
      </c>
      <c r="F77" s="144"/>
      <c r="G77" s="91"/>
      <c r="H77" s="91"/>
      <c r="I77" s="91"/>
      <c r="J77" s="91"/>
      <c r="K77" s="151"/>
      <c r="L77" s="144"/>
      <c r="M77" s="151"/>
      <c r="N77" s="144"/>
      <c r="O77" s="91"/>
      <c r="P77" s="91"/>
      <c r="Q77" s="152"/>
      <c r="R77" s="133"/>
      <c r="S77" s="153"/>
      <c r="T77" s="133"/>
      <c r="U77" s="154"/>
      <c r="V77" s="154"/>
      <c r="W77" s="152"/>
      <c r="X77" s="133"/>
      <c r="Y77" s="154"/>
      <c r="Z77" s="152"/>
      <c r="AA77" s="122"/>
      <c r="AB77" s="122"/>
      <c r="AC77" s="122"/>
      <c r="AD77" s="122"/>
      <c r="AE77" s="122"/>
      <c r="AF77" s="122"/>
      <c r="AG77" s="122"/>
      <c r="AH77" s="122"/>
      <c r="AI77" s="122"/>
      <c r="AJ77" s="122"/>
      <c r="AK77" s="122"/>
      <c r="AL77" s="122"/>
      <c r="AM77" s="122"/>
      <c r="AN77" s="122"/>
      <c r="AO77" s="122"/>
    </row>
    <row r="78" spans="2:41">
      <c r="B78" s="89" t="s">
        <v>529</v>
      </c>
      <c r="C78" s="60" t="s">
        <v>361</v>
      </c>
      <c r="D78" s="89" t="s">
        <v>581</v>
      </c>
      <c r="E78" s="508" t="s">
        <v>1772</v>
      </c>
      <c r="F78" s="144"/>
      <c r="G78" s="91"/>
      <c r="H78" s="91"/>
      <c r="I78" s="91"/>
      <c r="J78" s="91"/>
      <c r="K78" s="151"/>
      <c r="L78" s="144"/>
      <c r="M78" s="151"/>
      <c r="N78" s="144"/>
      <c r="O78" s="91"/>
      <c r="P78" s="91"/>
      <c r="Q78" s="152"/>
      <c r="R78" s="133"/>
      <c r="S78" s="153"/>
      <c r="T78" s="133"/>
      <c r="U78" s="154"/>
      <c r="V78" s="154"/>
      <c r="W78" s="152"/>
      <c r="X78" s="133"/>
      <c r="Y78" s="154"/>
      <c r="Z78" s="152"/>
      <c r="AA78" s="122"/>
      <c r="AB78" s="122"/>
      <c r="AC78" s="122"/>
      <c r="AD78" s="122"/>
      <c r="AE78" s="122"/>
      <c r="AF78" s="122"/>
      <c r="AG78" s="122"/>
      <c r="AH78" s="122"/>
      <c r="AI78" s="122"/>
      <c r="AJ78" s="122"/>
      <c r="AK78" s="122"/>
      <c r="AL78" s="122"/>
      <c r="AM78" s="122"/>
      <c r="AN78" s="122"/>
      <c r="AO78" s="122"/>
    </row>
    <row r="79" spans="2:41">
      <c r="B79" s="9">
        <v>72</v>
      </c>
      <c r="C79" s="49" t="s">
        <v>223</v>
      </c>
      <c r="D79" s="89">
        <v>1</v>
      </c>
      <c r="E79" s="508" t="s">
        <v>1729</v>
      </c>
      <c r="F79" s="144"/>
      <c r="G79" s="91"/>
      <c r="H79" s="91"/>
      <c r="I79" s="91"/>
      <c r="J79" s="151"/>
      <c r="K79" s="151"/>
      <c r="L79" s="144"/>
      <c r="M79" s="151"/>
      <c r="N79" s="144"/>
      <c r="O79" s="91"/>
      <c r="P79" s="91"/>
      <c r="Q79" s="152"/>
      <c r="R79" s="133"/>
      <c r="S79" s="153"/>
      <c r="T79" s="133"/>
      <c r="U79" s="154"/>
      <c r="V79" s="154"/>
      <c r="W79" s="152"/>
      <c r="X79" s="133"/>
      <c r="Y79" s="154"/>
      <c r="Z79" s="152"/>
      <c r="AA79" s="122"/>
      <c r="AB79" s="122"/>
      <c r="AC79" s="122"/>
      <c r="AD79" s="122"/>
      <c r="AE79" s="122"/>
      <c r="AF79" s="122"/>
      <c r="AG79" s="122"/>
      <c r="AH79" s="122"/>
      <c r="AI79" s="122"/>
      <c r="AJ79" s="122"/>
      <c r="AK79" s="122"/>
      <c r="AL79" s="122"/>
      <c r="AM79" s="122"/>
      <c r="AN79" s="122"/>
      <c r="AO79" s="122"/>
    </row>
    <row r="80" spans="2:41">
      <c r="B80" s="89" t="s">
        <v>532</v>
      </c>
      <c r="C80" s="60" t="s">
        <v>362</v>
      </c>
      <c r="D80" s="89" t="s">
        <v>581</v>
      </c>
      <c r="E80" s="511" t="s">
        <v>458</v>
      </c>
      <c r="F80" s="144"/>
      <c r="G80" s="91"/>
      <c r="H80" s="91"/>
      <c r="I80" s="91"/>
      <c r="J80" s="151"/>
      <c r="K80" s="151"/>
      <c r="L80" s="144"/>
      <c r="M80" s="151"/>
      <c r="N80" s="144"/>
      <c r="O80" s="91"/>
      <c r="P80" s="91"/>
      <c r="Q80" s="152"/>
      <c r="R80" s="133"/>
      <c r="S80" s="153"/>
      <c r="T80" s="133"/>
      <c r="U80" s="154"/>
      <c r="V80" s="154"/>
      <c r="W80" s="152"/>
      <c r="X80" s="133"/>
      <c r="Y80" s="154"/>
      <c r="Z80" s="152"/>
      <c r="AA80" s="122"/>
      <c r="AB80" s="122"/>
      <c r="AC80" s="122"/>
      <c r="AD80" s="122"/>
      <c r="AE80" s="122"/>
      <c r="AF80" s="122"/>
      <c r="AG80" s="122"/>
      <c r="AH80" s="122"/>
      <c r="AI80" s="122"/>
      <c r="AJ80" s="122"/>
      <c r="AK80" s="122"/>
      <c r="AL80" s="122"/>
      <c r="AM80" s="122"/>
      <c r="AN80" s="122"/>
      <c r="AO80" s="122"/>
    </row>
    <row r="81" spans="2:41">
      <c r="B81" s="9">
        <v>73</v>
      </c>
      <c r="C81" s="49" t="s">
        <v>225</v>
      </c>
      <c r="D81" s="89" t="s">
        <v>581</v>
      </c>
      <c r="E81" s="508" t="s">
        <v>1723</v>
      </c>
      <c r="F81" s="144"/>
      <c r="G81" s="91"/>
      <c r="H81" s="91"/>
      <c r="I81" s="91"/>
      <c r="J81" s="151"/>
      <c r="K81" s="151"/>
      <c r="L81" s="144"/>
      <c r="M81" s="151"/>
      <c r="N81" s="144"/>
      <c r="O81" s="91"/>
      <c r="P81" s="91"/>
      <c r="Q81" s="152"/>
      <c r="R81" s="133"/>
      <c r="S81" s="153"/>
      <c r="T81" s="133"/>
      <c r="U81" s="154"/>
      <c r="V81" s="154"/>
      <c r="W81" s="152"/>
      <c r="X81" s="133"/>
      <c r="Y81" s="154"/>
      <c r="Z81" s="152"/>
      <c r="AA81" s="122"/>
      <c r="AB81" s="122"/>
      <c r="AC81" s="122"/>
      <c r="AD81" s="122"/>
      <c r="AE81" s="122"/>
      <c r="AF81" s="122"/>
      <c r="AG81" s="122"/>
      <c r="AH81" s="122"/>
      <c r="AI81" s="122"/>
      <c r="AJ81" s="122"/>
      <c r="AK81" s="122"/>
      <c r="AL81" s="122"/>
      <c r="AM81" s="122"/>
      <c r="AN81" s="122"/>
      <c r="AO81" s="122"/>
    </row>
    <row r="82" spans="2:41">
      <c r="B82" s="9">
        <v>74</v>
      </c>
      <c r="C82" s="49" t="s">
        <v>363</v>
      </c>
      <c r="D82" s="89" t="s">
        <v>581</v>
      </c>
      <c r="E82" s="508" t="s">
        <v>1871</v>
      </c>
      <c r="F82" s="144"/>
      <c r="G82" s="91"/>
      <c r="H82" s="91"/>
      <c r="I82" s="91"/>
      <c r="J82" s="151"/>
      <c r="K82" s="151"/>
      <c r="L82" s="144"/>
      <c r="M82" s="151"/>
      <c r="N82" s="144"/>
      <c r="O82" s="91"/>
      <c r="P82" s="91"/>
      <c r="Q82" s="152"/>
      <c r="R82" s="133"/>
      <c r="S82" s="153"/>
      <c r="T82" s="133"/>
      <c r="U82" s="154"/>
      <c r="V82" s="154"/>
      <c r="W82" s="152"/>
      <c r="X82" s="133"/>
      <c r="Y82" s="154"/>
      <c r="Z82" s="152"/>
      <c r="AA82" s="122"/>
      <c r="AB82" s="122"/>
      <c r="AC82" s="122"/>
      <c r="AD82" s="122"/>
      <c r="AE82" s="122"/>
      <c r="AF82" s="122"/>
      <c r="AG82" s="122"/>
      <c r="AH82" s="122"/>
      <c r="AI82" s="122"/>
      <c r="AJ82" s="122"/>
      <c r="AK82" s="122"/>
      <c r="AL82" s="122"/>
      <c r="AM82" s="122"/>
      <c r="AN82" s="122"/>
      <c r="AO82" s="122"/>
    </row>
    <row r="83" spans="2:41">
      <c r="B83" s="9">
        <v>75</v>
      </c>
      <c r="C83" s="49" t="s">
        <v>364</v>
      </c>
      <c r="D83" s="89" t="s">
        <v>581</v>
      </c>
      <c r="E83" s="508" t="s">
        <v>1872</v>
      </c>
      <c r="F83" s="144"/>
      <c r="G83" s="91"/>
      <c r="H83" s="91"/>
      <c r="I83" s="91"/>
      <c r="J83" s="151"/>
      <c r="K83" s="151"/>
      <c r="L83" s="144"/>
      <c r="M83" s="151"/>
      <c r="N83" s="144"/>
      <c r="O83" s="91"/>
      <c r="P83" s="91"/>
      <c r="Q83" s="152"/>
      <c r="R83" s="133"/>
      <c r="S83" s="153"/>
      <c r="T83" s="133"/>
      <c r="U83" s="154"/>
      <c r="V83" s="154"/>
      <c r="W83" s="152"/>
      <c r="X83" s="133"/>
      <c r="Y83" s="154"/>
      <c r="Z83" s="152"/>
      <c r="AA83" s="122"/>
      <c r="AB83" s="122"/>
      <c r="AC83" s="122"/>
      <c r="AD83" s="122"/>
      <c r="AE83" s="122"/>
      <c r="AF83" s="122"/>
      <c r="AG83" s="122"/>
      <c r="AH83" s="122"/>
      <c r="AI83" s="122"/>
      <c r="AJ83" s="122"/>
      <c r="AK83" s="122"/>
      <c r="AL83" s="122"/>
      <c r="AM83" s="122"/>
      <c r="AN83" s="122"/>
      <c r="AO83" s="122"/>
    </row>
    <row r="84" spans="2:41">
      <c r="B84" s="9">
        <v>76</v>
      </c>
      <c r="C84" s="49" t="s">
        <v>80</v>
      </c>
      <c r="D84" s="89">
        <v>3</v>
      </c>
      <c r="E84" s="508" t="s">
        <v>1701</v>
      </c>
      <c r="F84" s="150">
        <v>1000000</v>
      </c>
      <c r="G84" s="91"/>
      <c r="H84" s="91"/>
      <c r="I84" s="91">
        <v>2904.9020293056128</v>
      </c>
      <c r="J84" s="151">
        <v>2904.9020293056128</v>
      </c>
      <c r="K84" s="151">
        <v>73146.447402526144</v>
      </c>
      <c r="L84" s="150">
        <v>1000000</v>
      </c>
      <c r="M84" s="151">
        <v>12249.239915349706</v>
      </c>
      <c r="N84" s="144">
        <v>39733.561495646492</v>
      </c>
      <c r="O84" s="91">
        <f t="shared" ref="O84:O93" si="5">MIN(K84,L84,M84,N84)</f>
        <v>12249.239915349706</v>
      </c>
      <c r="P84" s="91">
        <f t="shared" ref="P84:P93" si="6">MIN(M84,N84)</f>
        <v>12249.239915349706</v>
      </c>
      <c r="Q84" s="152"/>
      <c r="R84" s="154"/>
      <c r="S84" s="153"/>
      <c r="T84" s="133"/>
      <c r="U84" s="154"/>
      <c r="V84" s="154"/>
      <c r="W84" s="152"/>
      <c r="X84" s="133"/>
      <c r="Y84" s="154"/>
      <c r="Z84" s="152"/>
      <c r="AA84" s="122"/>
      <c r="AB84" s="122"/>
      <c r="AC84" s="122"/>
      <c r="AD84" s="122"/>
      <c r="AE84" s="122"/>
      <c r="AF84" s="122"/>
      <c r="AG84" s="122"/>
      <c r="AH84" s="122"/>
      <c r="AI84" s="122"/>
      <c r="AJ84" s="122"/>
      <c r="AK84" s="122"/>
      <c r="AL84" s="122"/>
      <c r="AM84" s="122"/>
      <c r="AN84" s="122"/>
      <c r="AO84" s="122"/>
    </row>
    <row r="85" spans="2:41">
      <c r="B85" s="9">
        <v>77</v>
      </c>
      <c r="C85" s="49" t="s">
        <v>81</v>
      </c>
      <c r="D85" s="89" t="s">
        <v>581</v>
      </c>
      <c r="E85" s="508" t="s">
        <v>1858</v>
      </c>
      <c r="F85" s="144">
        <v>132189.78663510387</v>
      </c>
      <c r="G85" s="91"/>
      <c r="H85" s="91"/>
      <c r="I85" s="91">
        <v>1551.7523352655483</v>
      </c>
      <c r="J85" s="151">
        <v>1552.180872232824</v>
      </c>
      <c r="K85" s="151">
        <v>36400.310588551176</v>
      </c>
      <c r="L85" s="144">
        <v>132189.78663652079</v>
      </c>
      <c r="M85" s="151">
        <v>6561.4516336929273</v>
      </c>
      <c r="N85" s="144">
        <v>21158.610023975514</v>
      </c>
      <c r="O85" s="91">
        <f t="shared" si="5"/>
        <v>6561.4516336929273</v>
      </c>
      <c r="P85" s="91">
        <f t="shared" si="6"/>
        <v>6561.4516336929273</v>
      </c>
      <c r="Q85" s="152"/>
      <c r="R85" s="133"/>
      <c r="S85" s="153"/>
      <c r="T85" s="133"/>
      <c r="U85" s="154"/>
      <c r="V85" s="154"/>
      <c r="W85" s="152"/>
      <c r="X85" s="133"/>
      <c r="Y85" s="154"/>
      <c r="Z85" s="152"/>
      <c r="AA85" s="122"/>
      <c r="AB85" s="122"/>
      <c r="AC85" s="122"/>
      <c r="AD85" s="122"/>
      <c r="AE85" s="122"/>
      <c r="AF85" s="122"/>
      <c r="AG85" s="122"/>
      <c r="AH85" s="122"/>
      <c r="AI85" s="122"/>
      <c r="AJ85" s="122"/>
      <c r="AK85" s="122"/>
      <c r="AL85" s="122"/>
      <c r="AM85" s="122"/>
      <c r="AN85" s="122"/>
      <c r="AO85" s="122"/>
    </row>
    <row r="86" spans="2:41">
      <c r="B86" s="9">
        <v>78</v>
      </c>
      <c r="C86" s="47" t="s">
        <v>58</v>
      </c>
      <c r="D86" s="89" t="s">
        <v>581</v>
      </c>
      <c r="E86" s="508" t="s">
        <v>1699</v>
      </c>
      <c r="F86" s="144">
        <v>102891.31427988413</v>
      </c>
      <c r="G86" s="91"/>
      <c r="H86" s="91"/>
      <c r="I86" s="91">
        <v>46.239879433657372</v>
      </c>
      <c r="J86" s="151">
        <v>1793.8647083761477</v>
      </c>
      <c r="K86" s="151">
        <v>34986.957679294421</v>
      </c>
      <c r="L86" s="144">
        <v>102891.31427988413</v>
      </c>
      <c r="M86" s="151">
        <v>7638.3524440680731</v>
      </c>
      <c r="N86" s="144">
        <v>24163.169629486423</v>
      </c>
      <c r="O86" s="91">
        <f t="shared" si="5"/>
        <v>7638.3524440680731</v>
      </c>
      <c r="P86" s="91">
        <f t="shared" si="6"/>
        <v>7638.3524440680731</v>
      </c>
      <c r="Q86" s="152"/>
      <c r="R86" s="133"/>
      <c r="S86" s="153"/>
      <c r="T86" s="133"/>
      <c r="U86" s="154"/>
      <c r="V86" s="154"/>
      <c r="W86" s="152"/>
      <c r="X86" s="133"/>
      <c r="Y86" s="154"/>
      <c r="Z86" s="152"/>
      <c r="AA86" s="122"/>
      <c r="AB86" s="122"/>
      <c r="AC86" s="122"/>
      <c r="AD86" s="122"/>
      <c r="AE86" s="122"/>
      <c r="AF86" s="122"/>
      <c r="AG86" s="122"/>
      <c r="AH86" s="122"/>
      <c r="AI86" s="122"/>
      <c r="AJ86" s="122"/>
      <c r="AK86" s="122"/>
      <c r="AL86" s="122"/>
      <c r="AM86" s="122"/>
      <c r="AN86" s="122"/>
      <c r="AO86" s="122"/>
    </row>
    <row r="87" spans="2:41">
      <c r="B87" s="9">
        <v>79</v>
      </c>
      <c r="C87" s="49" t="s">
        <v>61</v>
      </c>
      <c r="D87" s="89" t="s">
        <v>581</v>
      </c>
      <c r="E87" s="508" t="s">
        <v>1715</v>
      </c>
      <c r="F87" s="144">
        <v>182888.49485101629</v>
      </c>
      <c r="G87" s="91"/>
      <c r="H87" s="91"/>
      <c r="I87" s="91">
        <v>76.471970905360237</v>
      </c>
      <c r="J87" s="151">
        <v>10484.285100122941</v>
      </c>
      <c r="K87" s="151">
        <v>121729.28648342009</v>
      </c>
      <c r="L87" s="144">
        <v>182888.49485101629</v>
      </c>
      <c r="M87" s="151">
        <v>45976.789528208894</v>
      </c>
      <c r="N87" s="144">
        <v>133822.39299683276</v>
      </c>
      <c r="O87" s="91">
        <f t="shared" si="5"/>
        <v>45976.789528208894</v>
      </c>
      <c r="P87" s="91">
        <f t="shared" si="6"/>
        <v>45976.789528208894</v>
      </c>
      <c r="Q87" s="152"/>
      <c r="R87" s="133"/>
      <c r="S87" s="153"/>
      <c r="T87" s="133"/>
      <c r="U87" s="154"/>
      <c r="V87" s="154"/>
      <c r="W87" s="152"/>
      <c r="X87" s="133"/>
      <c r="Y87" s="154"/>
      <c r="Z87" s="152"/>
      <c r="AA87" s="122"/>
      <c r="AB87" s="122"/>
      <c r="AC87" s="122"/>
      <c r="AD87" s="122"/>
      <c r="AE87" s="122"/>
      <c r="AF87" s="122"/>
      <c r="AG87" s="122"/>
      <c r="AH87" s="122"/>
      <c r="AI87" s="122"/>
      <c r="AJ87" s="122"/>
      <c r="AK87" s="122"/>
      <c r="AL87" s="122"/>
      <c r="AM87" s="122"/>
      <c r="AN87" s="122"/>
      <c r="AO87" s="122"/>
    </row>
    <row r="88" spans="2:41">
      <c r="B88" s="9">
        <v>80</v>
      </c>
      <c r="C88" s="49" t="s">
        <v>189</v>
      </c>
      <c r="D88" s="89" t="s">
        <v>581</v>
      </c>
      <c r="E88" s="508" t="s">
        <v>1911</v>
      </c>
      <c r="F88" s="144">
        <v>81.663115935719944</v>
      </c>
      <c r="G88" s="91"/>
      <c r="H88" s="91"/>
      <c r="I88" s="91">
        <v>1.6311214258584165E-2</v>
      </c>
      <c r="J88" s="151">
        <v>58.615873230531292</v>
      </c>
      <c r="K88" s="151">
        <v>81.663115935719944</v>
      </c>
      <c r="L88" s="144">
        <v>81.663115935719944</v>
      </c>
      <c r="M88" s="151">
        <v>203.823924907867</v>
      </c>
      <c r="N88" s="144">
        <v>151.05058289660283</v>
      </c>
      <c r="O88" s="91">
        <f t="shared" si="5"/>
        <v>81.663115935719944</v>
      </c>
      <c r="P88" s="91">
        <f t="shared" si="6"/>
        <v>151.05058289660283</v>
      </c>
      <c r="Q88" s="152"/>
      <c r="R88" s="133"/>
      <c r="S88" s="153"/>
      <c r="T88" s="133"/>
      <c r="U88" s="154"/>
      <c r="V88" s="154"/>
      <c r="W88" s="152"/>
      <c r="X88" s="133"/>
      <c r="Y88" s="154"/>
      <c r="Z88" s="152"/>
      <c r="AA88" s="122"/>
      <c r="AB88" s="122"/>
      <c r="AC88" s="122"/>
      <c r="AD88" s="122"/>
      <c r="AE88" s="122"/>
      <c r="AF88" s="122"/>
      <c r="AG88" s="122"/>
      <c r="AH88" s="122"/>
      <c r="AI88" s="122"/>
      <c r="AJ88" s="122"/>
      <c r="AK88" s="122"/>
      <c r="AL88" s="122"/>
      <c r="AM88" s="122"/>
      <c r="AN88" s="122"/>
      <c r="AO88" s="122"/>
    </row>
    <row r="89" spans="2:41" s="148" customFormat="1">
      <c r="B89" s="9">
        <v>81</v>
      </c>
      <c r="C89" s="49" t="s">
        <v>191</v>
      </c>
      <c r="D89" s="89">
        <v>3</v>
      </c>
      <c r="E89" s="508" t="s">
        <v>1651</v>
      </c>
      <c r="F89" s="144">
        <v>116.76512301839577</v>
      </c>
      <c r="G89" s="91"/>
      <c r="H89" s="91"/>
      <c r="I89" s="91">
        <v>3.5306628824072255E-2</v>
      </c>
      <c r="J89" s="151">
        <v>80.018436247711463</v>
      </c>
      <c r="K89" s="151">
        <v>116.76512301839577</v>
      </c>
      <c r="L89" s="144">
        <v>116.76512301839577</v>
      </c>
      <c r="M89" s="151">
        <v>720.66316306710121</v>
      </c>
      <c r="N89" s="144">
        <v>534.07170381298852</v>
      </c>
      <c r="O89" s="91">
        <f t="shared" si="5"/>
        <v>116.76512301839577</v>
      </c>
      <c r="P89" s="91">
        <f t="shared" si="6"/>
        <v>534.07170381298852</v>
      </c>
      <c r="Q89" s="152"/>
      <c r="R89" s="133"/>
      <c r="S89" s="153"/>
      <c r="T89" s="133"/>
      <c r="U89" s="154"/>
      <c r="V89" s="154"/>
      <c r="W89" s="152"/>
      <c r="X89" s="133"/>
      <c r="Y89" s="154"/>
      <c r="Z89" s="152"/>
      <c r="AA89" s="147"/>
      <c r="AB89" s="147"/>
      <c r="AC89" s="147"/>
      <c r="AD89" s="147"/>
      <c r="AE89" s="147"/>
      <c r="AF89" s="147"/>
      <c r="AG89" s="147"/>
      <c r="AH89" s="147"/>
      <c r="AI89" s="147"/>
      <c r="AJ89" s="147"/>
      <c r="AK89" s="147"/>
      <c r="AL89" s="147"/>
      <c r="AM89" s="147"/>
      <c r="AN89" s="147"/>
      <c r="AO89" s="147"/>
    </row>
    <row r="90" spans="2:41">
      <c r="B90" s="9">
        <v>82</v>
      </c>
      <c r="C90" s="49" t="s">
        <v>192</v>
      </c>
      <c r="D90" s="89" t="s">
        <v>581</v>
      </c>
      <c r="E90" s="508" t="s">
        <v>1838</v>
      </c>
      <c r="F90" s="144">
        <v>11676.512301839577</v>
      </c>
      <c r="G90" s="91"/>
      <c r="H90" s="91"/>
      <c r="I90" s="91">
        <v>4997.0585484187868</v>
      </c>
      <c r="J90" s="151">
        <v>8001.8436247711479</v>
      </c>
      <c r="K90" s="151">
        <v>11676.512301839577</v>
      </c>
      <c r="L90" s="144">
        <v>11676.512301839577</v>
      </c>
      <c r="M90" s="151">
        <v>72066.316306710127</v>
      </c>
      <c r="N90" s="144">
        <v>53407.170381298849</v>
      </c>
      <c r="O90" s="91">
        <f t="shared" si="5"/>
        <v>11676.512301839577</v>
      </c>
      <c r="P90" s="91">
        <f t="shared" si="6"/>
        <v>53407.170381298849</v>
      </c>
      <c r="Q90" s="152"/>
      <c r="R90" s="133"/>
      <c r="S90" s="153"/>
      <c r="T90" s="133"/>
      <c r="U90" s="154"/>
      <c r="V90" s="154"/>
      <c r="W90" s="152"/>
      <c r="X90" s="133"/>
      <c r="Y90" s="154"/>
      <c r="Z90" s="152"/>
      <c r="AA90" s="122"/>
      <c r="AB90" s="122"/>
      <c r="AC90" s="122"/>
      <c r="AD90" s="122"/>
      <c r="AE90" s="122"/>
      <c r="AF90" s="122"/>
      <c r="AG90" s="122"/>
      <c r="AH90" s="122"/>
      <c r="AI90" s="122"/>
      <c r="AJ90" s="122"/>
      <c r="AK90" s="122"/>
      <c r="AL90" s="122"/>
      <c r="AM90" s="122"/>
      <c r="AN90" s="122"/>
      <c r="AO90" s="122"/>
    </row>
    <row r="91" spans="2:41">
      <c r="B91" s="9">
        <v>83</v>
      </c>
      <c r="C91" s="49" t="s">
        <v>365</v>
      </c>
      <c r="D91" s="89" t="s">
        <v>581</v>
      </c>
      <c r="E91" s="508" t="s">
        <v>1806</v>
      </c>
      <c r="F91" s="144">
        <v>5838.2561509197885</v>
      </c>
      <c r="G91" s="91"/>
      <c r="H91" s="91"/>
      <c r="I91" s="91">
        <v>1.9769159154842482</v>
      </c>
      <c r="J91" s="151">
        <v>4000.921812385574</v>
      </c>
      <c r="K91" s="151">
        <v>5838.2561509197885</v>
      </c>
      <c r="L91" s="144">
        <v>5838.2561509197885</v>
      </c>
      <c r="M91" s="151">
        <v>36033.158153355063</v>
      </c>
      <c r="N91" s="144">
        <v>26703.585190649424</v>
      </c>
      <c r="O91" s="91">
        <f t="shared" si="5"/>
        <v>5838.2561509197885</v>
      </c>
      <c r="P91" s="91">
        <f t="shared" si="6"/>
        <v>26703.585190649424</v>
      </c>
      <c r="Q91" s="152"/>
      <c r="R91" s="133"/>
      <c r="S91" s="153"/>
      <c r="T91" s="133"/>
      <c r="U91" s="154"/>
      <c r="V91" s="154"/>
      <c r="W91" s="152"/>
      <c r="X91" s="133"/>
      <c r="Y91" s="154"/>
      <c r="Z91" s="152"/>
      <c r="AA91" s="122"/>
      <c r="AB91" s="122"/>
      <c r="AC91" s="122"/>
      <c r="AD91" s="122"/>
      <c r="AE91" s="122"/>
      <c r="AF91" s="122"/>
      <c r="AG91" s="122"/>
      <c r="AH91" s="122"/>
      <c r="AI91" s="122"/>
      <c r="AJ91" s="122"/>
      <c r="AK91" s="122"/>
      <c r="AL91" s="122"/>
      <c r="AM91" s="122"/>
      <c r="AN91" s="122"/>
      <c r="AO91" s="122"/>
    </row>
    <row r="92" spans="2:41" s="148" customFormat="1">
      <c r="B92" s="9">
        <v>84</v>
      </c>
      <c r="C92" s="49" t="s">
        <v>193</v>
      </c>
      <c r="D92" s="89" t="s">
        <v>581</v>
      </c>
      <c r="E92" s="508" t="s">
        <v>1635</v>
      </c>
      <c r="F92" s="144">
        <v>7005.9073811037451</v>
      </c>
      <c r="G92" s="91"/>
      <c r="H92" s="91"/>
      <c r="I92" s="91">
        <v>1.8545866093730441</v>
      </c>
      <c r="J92" s="151">
        <v>4801.106174862688</v>
      </c>
      <c r="K92" s="151">
        <v>7005.9073811037451</v>
      </c>
      <c r="L92" s="144">
        <v>7005.9073811037451</v>
      </c>
      <c r="M92" s="151">
        <v>43239.78978402607</v>
      </c>
      <c r="N92" s="144">
        <v>32044.30222877931</v>
      </c>
      <c r="O92" s="91">
        <f t="shared" si="5"/>
        <v>7005.9073811037451</v>
      </c>
      <c r="P92" s="91">
        <f t="shared" si="6"/>
        <v>32044.30222877931</v>
      </c>
      <c r="Q92" s="152"/>
      <c r="R92" s="133"/>
      <c r="S92" s="153"/>
      <c r="T92" s="133"/>
      <c r="U92" s="154"/>
      <c r="V92" s="154"/>
      <c r="W92" s="152"/>
      <c r="X92" s="133"/>
      <c r="Y92" s="154"/>
      <c r="Z92" s="152"/>
      <c r="AA92" s="147"/>
      <c r="AB92" s="147"/>
      <c r="AC92" s="147"/>
      <c r="AD92" s="147"/>
      <c r="AE92" s="147"/>
      <c r="AF92" s="147"/>
      <c r="AG92" s="147"/>
      <c r="AH92" s="147"/>
      <c r="AI92" s="147"/>
      <c r="AJ92" s="147"/>
      <c r="AK92" s="147"/>
      <c r="AL92" s="147"/>
      <c r="AM92" s="147"/>
      <c r="AN92" s="147"/>
      <c r="AO92" s="147"/>
    </row>
    <row r="93" spans="2:41">
      <c r="B93" s="9">
        <v>85</v>
      </c>
      <c r="C93" s="49" t="s">
        <v>62</v>
      </c>
      <c r="D93" s="89" t="s">
        <v>581</v>
      </c>
      <c r="E93" s="508" t="s">
        <v>1718</v>
      </c>
      <c r="F93" s="144">
        <v>2765.3862817462082</v>
      </c>
      <c r="G93" s="91"/>
      <c r="H93" s="91"/>
      <c r="I93" s="91">
        <v>23.083695369697121</v>
      </c>
      <c r="J93" s="151">
        <v>23.083695369697121</v>
      </c>
      <c r="K93" s="151">
        <v>585.86474395599214</v>
      </c>
      <c r="L93" s="144">
        <v>2765.3862817462082</v>
      </c>
      <c r="M93" s="151">
        <v>97.323771501693329</v>
      </c>
      <c r="N93" s="144">
        <v>316.5586190713297</v>
      </c>
      <c r="O93" s="91">
        <f t="shared" si="5"/>
        <v>97.323771501693329</v>
      </c>
      <c r="P93" s="91">
        <f t="shared" si="6"/>
        <v>97.323771501693329</v>
      </c>
      <c r="Q93" s="152"/>
      <c r="R93" s="133"/>
      <c r="S93" s="153"/>
      <c r="T93" s="133"/>
      <c r="U93" s="154"/>
      <c r="V93" s="154"/>
      <c r="W93" s="152"/>
      <c r="X93" s="133"/>
      <c r="Y93" s="154"/>
      <c r="Z93" s="152"/>
      <c r="AA93" s="122"/>
      <c r="AB93" s="122"/>
      <c r="AC93" s="122"/>
      <c r="AD93" s="122"/>
      <c r="AE93" s="122"/>
      <c r="AF93" s="122"/>
      <c r="AG93" s="122"/>
      <c r="AH93" s="122"/>
      <c r="AI93" s="122"/>
      <c r="AJ93" s="122"/>
      <c r="AK93" s="122"/>
      <c r="AL93" s="122"/>
      <c r="AM93" s="122"/>
      <c r="AN93" s="122"/>
      <c r="AO93" s="122"/>
    </row>
    <row r="94" spans="2:41">
      <c r="B94" s="9">
        <v>86</v>
      </c>
      <c r="C94" s="48" t="s">
        <v>366</v>
      </c>
      <c r="D94" s="89" t="s">
        <v>581</v>
      </c>
      <c r="E94" s="508" t="s">
        <v>1661</v>
      </c>
      <c r="F94" s="144"/>
      <c r="G94" s="91"/>
      <c r="H94" s="91"/>
      <c r="I94" s="91"/>
      <c r="J94" s="151"/>
      <c r="K94" s="151"/>
      <c r="L94" s="144"/>
      <c r="M94" s="151"/>
      <c r="N94" s="144"/>
      <c r="O94" s="91"/>
      <c r="P94" s="91"/>
      <c r="Q94" s="152"/>
      <c r="R94" s="133"/>
      <c r="S94" s="153"/>
      <c r="T94" s="133"/>
      <c r="U94" s="154"/>
      <c r="V94" s="154"/>
      <c r="W94" s="152"/>
      <c r="X94" s="133"/>
      <c r="Y94" s="154"/>
      <c r="Z94" s="152"/>
      <c r="AA94" s="122"/>
      <c r="AB94" s="122"/>
      <c r="AC94" s="122"/>
      <c r="AD94" s="122"/>
      <c r="AE94" s="122"/>
      <c r="AF94" s="122"/>
      <c r="AG94" s="122"/>
      <c r="AH94" s="122"/>
      <c r="AI94" s="122"/>
      <c r="AJ94" s="122"/>
      <c r="AK94" s="122"/>
      <c r="AL94" s="122"/>
      <c r="AM94" s="122"/>
      <c r="AN94" s="122"/>
      <c r="AO94" s="122"/>
    </row>
    <row r="95" spans="2:41">
      <c r="B95" s="9">
        <v>87</v>
      </c>
      <c r="C95" s="48" t="s">
        <v>367</v>
      </c>
      <c r="D95" s="89" t="s">
        <v>581</v>
      </c>
      <c r="E95" s="508" t="s">
        <v>1673</v>
      </c>
      <c r="F95" s="144"/>
      <c r="G95" s="91"/>
      <c r="H95" s="91"/>
      <c r="I95" s="91"/>
      <c r="J95" s="151"/>
      <c r="K95" s="151"/>
      <c r="L95" s="144"/>
      <c r="M95" s="151"/>
      <c r="N95" s="144"/>
      <c r="O95" s="91"/>
      <c r="P95" s="91"/>
      <c r="Q95" s="152"/>
      <c r="R95" s="133"/>
      <c r="S95" s="153"/>
      <c r="T95" s="133"/>
      <c r="U95" s="154"/>
      <c r="V95" s="154"/>
      <c r="W95" s="152"/>
      <c r="X95" s="133"/>
      <c r="Y95" s="154"/>
      <c r="Z95" s="152"/>
      <c r="AA95" s="122"/>
      <c r="AB95" s="122"/>
      <c r="AC95" s="122"/>
      <c r="AD95" s="122"/>
      <c r="AE95" s="122"/>
      <c r="AF95" s="122"/>
      <c r="AG95" s="122"/>
      <c r="AH95" s="122"/>
      <c r="AI95" s="122"/>
      <c r="AJ95" s="122"/>
      <c r="AK95" s="122"/>
      <c r="AL95" s="122"/>
      <c r="AM95" s="122"/>
      <c r="AN95" s="122"/>
      <c r="AO95" s="122"/>
    </row>
    <row r="96" spans="2:41">
      <c r="B96" s="9">
        <v>88</v>
      </c>
      <c r="C96" s="49" t="s">
        <v>368</v>
      </c>
      <c r="D96" s="89" t="s">
        <v>581</v>
      </c>
      <c r="E96" s="508" t="s">
        <v>1875</v>
      </c>
      <c r="F96" s="144"/>
      <c r="G96" s="91"/>
      <c r="H96" s="91"/>
      <c r="I96" s="91"/>
      <c r="J96" s="151"/>
      <c r="K96" s="151"/>
      <c r="L96" s="144"/>
      <c r="M96" s="151"/>
      <c r="N96" s="144"/>
      <c r="O96" s="91"/>
      <c r="P96" s="91"/>
      <c r="Q96" s="152"/>
      <c r="R96" s="133"/>
      <c r="S96" s="153"/>
      <c r="T96" s="133"/>
      <c r="U96" s="154"/>
      <c r="V96" s="154"/>
      <c r="W96" s="152"/>
      <c r="X96" s="133"/>
      <c r="Y96" s="154"/>
      <c r="Z96" s="152"/>
      <c r="AA96" s="122"/>
      <c r="AB96" s="122"/>
      <c r="AC96" s="122"/>
      <c r="AD96" s="122"/>
      <c r="AE96" s="122"/>
      <c r="AF96" s="122"/>
      <c r="AG96" s="122"/>
      <c r="AH96" s="122"/>
      <c r="AI96" s="122"/>
      <c r="AJ96" s="122"/>
      <c r="AK96" s="122"/>
      <c r="AL96" s="122"/>
      <c r="AM96" s="122"/>
      <c r="AN96" s="122"/>
      <c r="AO96" s="122"/>
    </row>
    <row r="97" spans="2:41">
      <c r="B97" s="9">
        <v>89</v>
      </c>
      <c r="C97" s="49" t="s">
        <v>369</v>
      </c>
      <c r="D97" s="89" t="s">
        <v>581</v>
      </c>
      <c r="E97" s="508" t="s">
        <v>1898</v>
      </c>
      <c r="F97" s="144"/>
      <c r="G97" s="91"/>
      <c r="H97" s="91"/>
      <c r="I97" s="91"/>
      <c r="J97" s="151"/>
      <c r="K97" s="151"/>
      <c r="L97" s="144"/>
      <c r="M97" s="151"/>
      <c r="N97" s="144"/>
      <c r="O97" s="91"/>
      <c r="P97" s="91"/>
      <c r="Q97" s="152"/>
      <c r="R97" s="133"/>
      <c r="S97" s="153"/>
      <c r="T97" s="133"/>
      <c r="U97" s="154"/>
      <c r="V97" s="154"/>
      <c r="W97" s="152"/>
      <c r="X97" s="133"/>
      <c r="Y97" s="154"/>
      <c r="Z97" s="152"/>
      <c r="AA97" s="122"/>
      <c r="AB97" s="122"/>
      <c r="AC97" s="122"/>
      <c r="AD97" s="122"/>
      <c r="AE97" s="122"/>
      <c r="AF97" s="122"/>
      <c r="AG97" s="122"/>
      <c r="AH97" s="122"/>
      <c r="AI97" s="122"/>
      <c r="AJ97" s="122"/>
      <c r="AK97" s="122"/>
      <c r="AL97" s="122"/>
      <c r="AM97" s="122"/>
      <c r="AN97" s="122"/>
      <c r="AO97" s="122"/>
    </row>
    <row r="98" spans="2:41">
      <c r="B98" s="9">
        <v>90</v>
      </c>
      <c r="C98" s="49" t="s">
        <v>48</v>
      </c>
      <c r="D98" s="89" t="s">
        <v>582</v>
      </c>
      <c r="E98" s="508" t="s">
        <v>1619</v>
      </c>
      <c r="F98" s="144">
        <v>20.319793706751607</v>
      </c>
      <c r="G98" s="91"/>
      <c r="H98" s="91"/>
      <c r="I98" s="91">
        <v>1.383348914369399E-2</v>
      </c>
      <c r="J98" s="91">
        <v>9.4746856798657936E-2</v>
      </c>
      <c r="K98" s="151">
        <v>2.64730523226079</v>
      </c>
      <c r="L98" s="144">
        <v>20.319793706751607</v>
      </c>
      <c r="M98" s="151">
        <v>0.61759195926919686</v>
      </c>
      <c r="N98" s="144">
        <v>2.0370105623443111</v>
      </c>
      <c r="O98" s="91">
        <f>MIN(K98,L98,M98,N98)</f>
        <v>0.61759195926919686</v>
      </c>
      <c r="P98" s="91">
        <f>MIN(M98,N98)</f>
        <v>0.61759195926919686</v>
      </c>
      <c r="Q98" s="152"/>
      <c r="R98" s="133"/>
      <c r="S98" s="153"/>
      <c r="T98" s="133"/>
      <c r="U98" s="154"/>
      <c r="V98" s="154"/>
      <c r="W98" s="152"/>
      <c r="X98" s="133"/>
      <c r="Y98" s="154"/>
      <c r="Z98" s="154"/>
      <c r="AA98" s="122"/>
      <c r="AB98" s="122"/>
      <c r="AC98" s="122"/>
      <c r="AD98" s="122"/>
      <c r="AE98" s="122"/>
      <c r="AF98" s="122"/>
      <c r="AG98" s="122"/>
      <c r="AH98" s="122"/>
      <c r="AI98" s="122"/>
      <c r="AJ98" s="122"/>
      <c r="AK98" s="122"/>
      <c r="AL98" s="122"/>
      <c r="AM98" s="122"/>
      <c r="AN98" s="122"/>
      <c r="AO98" s="122"/>
    </row>
    <row r="99" spans="2:41">
      <c r="B99" s="9">
        <v>91</v>
      </c>
      <c r="C99" s="49" t="s">
        <v>57</v>
      </c>
      <c r="D99" s="89" t="s">
        <v>581</v>
      </c>
      <c r="E99" s="508" t="s">
        <v>1685</v>
      </c>
      <c r="F99" s="144">
        <v>23353.024603679154</v>
      </c>
      <c r="G99" s="91"/>
      <c r="H99" s="91"/>
      <c r="I99" s="91">
        <v>7.9058585632262748</v>
      </c>
      <c r="J99" s="151">
        <v>16003.687249542296</v>
      </c>
      <c r="K99" s="151">
        <v>23353.024603679154</v>
      </c>
      <c r="L99" s="144">
        <v>23353.024603679154</v>
      </c>
      <c r="M99" s="151">
        <v>144132.63261342025</v>
      </c>
      <c r="N99" s="144">
        <v>106814.3407625977</v>
      </c>
      <c r="O99" s="91">
        <f>MIN(K99,L99,M99,N99)</f>
        <v>23353.024603679154</v>
      </c>
      <c r="P99" s="91">
        <f>MIN(M99,N99)</f>
        <v>106814.3407625977</v>
      </c>
      <c r="Q99" s="152"/>
      <c r="R99" s="133"/>
      <c r="S99" s="153"/>
      <c r="T99" s="133"/>
      <c r="U99" s="154"/>
      <c r="V99" s="154"/>
      <c r="W99" s="152"/>
      <c r="X99" s="133"/>
      <c r="Y99" s="154"/>
      <c r="Z99" s="152"/>
      <c r="AA99" s="122"/>
      <c r="AB99" s="122"/>
      <c r="AC99" s="122"/>
      <c r="AD99" s="122"/>
      <c r="AE99" s="122"/>
      <c r="AF99" s="122"/>
      <c r="AG99" s="122"/>
      <c r="AH99" s="122"/>
      <c r="AI99" s="122"/>
      <c r="AJ99" s="122"/>
      <c r="AK99" s="122"/>
      <c r="AL99" s="122"/>
      <c r="AM99" s="122"/>
      <c r="AN99" s="122"/>
      <c r="AO99" s="122"/>
    </row>
    <row r="100" spans="2:41" s="148" customFormat="1">
      <c r="B100" s="9">
        <v>92</v>
      </c>
      <c r="C100" s="49" t="s">
        <v>370</v>
      </c>
      <c r="D100" s="89" t="s">
        <v>581</v>
      </c>
      <c r="E100" s="508" t="s">
        <v>1630</v>
      </c>
      <c r="F100" s="434"/>
      <c r="G100" s="435"/>
      <c r="H100" s="435"/>
      <c r="I100" s="435"/>
      <c r="J100" s="532"/>
      <c r="K100" s="532"/>
      <c r="L100" s="434"/>
      <c r="M100" s="532"/>
      <c r="N100" s="434"/>
      <c r="O100" s="435"/>
      <c r="P100" s="435"/>
      <c r="Q100" s="152"/>
      <c r="R100" s="133"/>
      <c r="S100" s="153"/>
      <c r="T100" s="133"/>
      <c r="U100" s="154"/>
      <c r="V100" s="154"/>
      <c r="W100" s="152"/>
      <c r="X100" s="133"/>
      <c r="Y100" s="154"/>
      <c r="Z100" s="152"/>
      <c r="AA100" s="147"/>
      <c r="AB100" s="147"/>
      <c r="AC100" s="147"/>
      <c r="AD100" s="147"/>
      <c r="AE100" s="147"/>
      <c r="AF100" s="147"/>
      <c r="AG100" s="147"/>
      <c r="AH100" s="147"/>
      <c r="AI100" s="147"/>
      <c r="AJ100" s="147"/>
      <c r="AK100" s="147"/>
      <c r="AL100" s="147"/>
      <c r="AM100" s="147"/>
      <c r="AN100" s="147"/>
      <c r="AO100" s="147"/>
    </row>
    <row r="101" spans="2:41" s="148" customFormat="1">
      <c r="B101" s="9">
        <v>93</v>
      </c>
      <c r="C101" s="49" t="s">
        <v>371</v>
      </c>
      <c r="D101" s="89" t="s">
        <v>581</v>
      </c>
      <c r="E101" s="508" t="s">
        <v>1684</v>
      </c>
      <c r="F101" s="434"/>
      <c r="G101" s="435"/>
      <c r="H101" s="435"/>
      <c r="I101" s="435"/>
      <c r="J101" s="532"/>
      <c r="K101" s="532"/>
      <c r="L101" s="434"/>
      <c r="M101" s="532"/>
      <c r="N101" s="434"/>
      <c r="O101" s="435"/>
      <c r="P101" s="435"/>
      <c r="Q101" s="152"/>
      <c r="R101" s="133"/>
      <c r="S101" s="153"/>
      <c r="T101" s="133"/>
      <c r="U101" s="154"/>
      <c r="V101" s="154"/>
      <c r="W101" s="152"/>
      <c r="X101" s="133"/>
      <c r="Y101" s="154"/>
      <c r="Z101" s="152"/>
      <c r="AA101" s="147"/>
      <c r="AB101" s="147"/>
      <c r="AC101" s="147"/>
      <c r="AD101" s="147"/>
      <c r="AE101" s="147"/>
      <c r="AF101" s="147"/>
      <c r="AG101" s="147"/>
      <c r="AH101" s="147"/>
      <c r="AI101" s="147"/>
      <c r="AJ101" s="147"/>
      <c r="AK101" s="147"/>
      <c r="AL101" s="147"/>
      <c r="AM101" s="147"/>
      <c r="AN101" s="147"/>
      <c r="AO101" s="147"/>
    </row>
    <row r="102" spans="2:41">
      <c r="B102" s="9">
        <v>94</v>
      </c>
      <c r="C102" s="49" t="s">
        <v>372</v>
      </c>
      <c r="D102" s="89" t="s">
        <v>581</v>
      </c>
      <c r="E102" s="508" t="s">
        <v>1913</v>
      </c>
      <c r="F102" s="144"/>
      <c r="G102" s="91"/>
      <c r="H102" s="91"/>
      <c r="I102" s="91"/>
      <c r="J102" s="151"/>
      <c r="K102" s="151"/>
      <c r="L102" s="144"/>
      <c r="M102" s="151"/>
      <c r="N102" s="144"/>
      <c r="O102" s="91"/>
      <c r="P102" s="91"/>
      <c r="Q102" s="152"/>
      <c r="R102" s="158"/>
      <c r="S102" s="153"/>
      <c r="T102" s="133"/>
      <c r="U102" s="154"/>
      <c r="V102" s="154"/>
      <c r="W102" s="152"/>
      <c r="X102" s="133"/>
      <c r="Y102" s="154"/>
      <c r="Z102" s="152"/>
      <c r="AA102" s="122"/>
      <c r="AB102" s="122"/>
      <c r="AC102" s="122"/>
      <c r="AD102" s="122"/>
      <c r="AE102" s="122"/>
      <c r="AF102" s="122"/>
      <c r="AG102" s="122"/>
      <c r="AH102" s="122"/>
      <c r="AI102" s="122"/>
      <c r="AJ102" s="122"/>
      <c r="AK102" s="122"/>
      <c r="AL102" s="122"/>
      <c r="AM102" s="122"/>
      <c r="AN102" s="122"/>
      <c r="AO102" s="122"/>
    </row>
    <row r="103" spans="2:41">
      <c r="B103" s="9">
        <v>95</v>
      </c>
      <c r="C103" s="49" t="s">
        <v>373</v>
      </c>
      <c r="D103" s="89" t="s">
        <v>581</v>
      </c>
      <c r="E103" s="508" t="s">
        <v>1930</v>
      </c>
      <c r="F103" s="144"/>
      <c r="G103" s="91"/>
      <c r="H103" s="91"/>
      <c r="I103" s="91"/>
      <c r="J103" s="151"/>
      <c r="K103" s="151"/>
      <c r="L103" s="144"/>
      <c r="M103" s="151"/>
      <c r="N103" s="144"/>
      <c r="O103" s="91"/>
      <c r="P103" s="91"/>
      <c r="Q103" s="152"/>
      <c r="R103" s="158"/>
      <c r="S103" s="153"/>
      <c r="T103" s="133"/>
      <c r="U103" s="154"/>
      <c r="V103" s="154"/>
      <c r="W103" s="152"/>
      <c r="X103" s="133"/>
      <c r="Y103" s="154"/>
      <c r="Z103" s="152"/>
      <c r="AA103" s="122"/>
      <c r="AB103" s="122"/>
      <c r="AC103" s="122"/>
      <c r="AD103" s="122"/>
      <c r="AE103" s="122"/>
      <c r="AF103" s="122"/>
      <c r="AG103" s="122"/>
      <c r="AH103" s="122"/>
      <c r="AI103" s="122"/>
      <c r="AJ103" s="122"/>
      <c r="AK103" s="122"/>
      <c r="AL103" s="122"/>
      <c r="AM103" s="122"/>
      <c r="AN103" s="122"/>
      <c r="AO103" s="122"/>
    </row>
    <row r="104" spans="2:41">
      <c r="B104" s="9">
        <v>96</v>
      </c>
      <c r="C104" s="49" t="s">
        <v>374</v>
      </c>
      <c r="D104" s="89" t="s">
        <v>581</v>
      </c>
      <c r="E104" s="508" t="s">
        <v>1680</v>
      </c>
      <c r="F104" s="144"/>
      <c r="G104" s="91"/>
      <c r="H104" s="91"/>
      <c r="I104" s="91"/>
      <c r="J104" s="151"/>
      <c r="K104" s="151"/>
      <c r="L104" s="144"/>
      <c r="M104" s="151"/>
      <c r="N104" s="144"/>
      <c r="O104" s="91"/>
      <c r="P104" s="91"/>
      <c r="Q104" s="152"/>
      <c r="R104" s="133"/>
      <c r="S104" s="153"/>
      <c r="T104" s="133"/>
      <c r="U104" s="154"/>
      <c r="V104" s="154"/>
      <c r="W104" s="152"/>
      <c r="X104" s="133"/>
      <c r="Y104" s="154"/>
      <c r="Z104" s="154"/>
      <c r="AA104" s="122"/>
      <c r="AB104" s="122"/>
      <c r="AC104" s="122"/>
      <c r="AD104" s="122"/>
      <c r="AE104" s="122"/>
      <c r="AF104" s="122"/>
      <c r="AG104" s="122"/>
      <c r="AH104" s="122"/>
      <c r="AI104" s="122"/>
      <c r="AJ104" s="122"/>
      <c r="AK104" s="122"/>
      <c r="AL104" s="122"/>
      <c r="AM104" s="122"/>
      <c r="AN104" s="122"/>
      <c r="AO104" s="122"/>
    </row>
    <row r="105" spans="2:41">
      <c r="B105" s="9">
        <v>97</v>
      </c>
      <c r="C105" s="49" t="s">
        <v>375</v>
      </c>
      <c r="D105" s="89">
        <v>1</v>
      </c>
      <c r="E105" s="508" t="s">
        <v>1821</v>
      </c>
      <c r="F105" s="144"/>
      <c r="G105" s="91"/>
      <c r="H105" s="91"/>
      <c r="I105" s="91"/>
      <c r="J105" s="151"/>
      <c r="K105" s="151"/>
      <c r="L105" s="144"/>
      <c r="M105" s="151"/>
      <c r="N105" s="144"/>
      <c r="O105" s="91"/>
      <c r="P105" s="91"/>
      <c r="Q105" s="152"/>
      <c r="R105" s="158"/>
      <c r="S105" s="153"/>
      <c r="T105" s="133"/>
      <c r="U105" s="154"/>
      <c r="V105" s="154"/>
      <c r="W105" s="152"/>
      <c r="X105" s="133"/>
      <c r="Y105" s="154"/>
      <c r="Z105" s="152"/>
      <c r="AA105" s="122"/>
      <c r="AB105" s="122"/>
      <c r="AC105" s="122"/>
      <c r="AD105" s="122"/>
      <c r="AE105" s="122"/>
      <c r="AF105" s="122"/>
      <c r="AG105" s="122"/>
      <c r="AH105" s="122"/>
      <c r="AI105" s="122"/>
      <c r="AJ105" s="122"/>
      <c r="AK105" s="122"/>
      <c r="AL105" s="122"/>
      <c r="AM105" s="122"/>
      <c r="AN105" s="122"/>
      <c r="AO105" s="122"/>
    </row>
    <row r="106" spans="2:41">
      <c r="B106" s="9">
        <v>98</v>
      </c>
      <c r="C106" s="49" t="s">
        <v>376</v>
      </c>
      <c r="D106" s="89" t="s">
        <v>581</v>
      </c>
      <c r="E106" s="508" t="s">
        <v>1688</v>
      </c>
      <c r="F106" s="144"/>
      <c r="G106" s="91"/>
      <c r="H106" s="91"/>
      <c r="I106" s="91"/>
      <c r="J106" s="151"/>
      <c r="K106" s="151"/>
      <c r="L106" s="144"/>
      <c r="M106" s="151"/>
      <c r="N106" s="144"/>
      <c r="O106" s="91"/>
      <c r="P106" s="91"/>
      <c r="Q106" s="152"/>
      <c r="R106" s="158"/>
      <c r="S106" s="153"/>
      <c r="T106" s="133"/>
      <c r="U106" s="154"/>
      <c r="V106" s="154"/>
      <c r="W106" s="152"/>
      <c r="X106" s="133"/>
      <c r="Y106" s="154"/>
      <c r="Z106" s="152"/>
      <c r="AA106" s="122"/>
      <c r="AB106" s="122"/>
      <c r="AC106" s="122"/>
      <c r="AD106" s="122"/>
      <c r="AE106" s="122"/>
      <c r="AF106" s="122"/>
      <c r="AG106" s="122"/>
      <c r="AH106" s="122"/>
      <c r="AI106" s="122"/>
      <c r="AJ106" s="122"/>
      <c r="AK106" s="122"/>
      <c r="AL106" s="122"/>
      <c r="AM106" s="122"/>
      <c r="AN106" s="122"/>
      <c r="AO106" s="122"/>
    </row>
    <row r="107" spans="2:41">
      <c r="B107" s="9">
        <v>99</v>
      </c>
      <c r="C107" s="49" t="s">
        <v>377</v>
      </c>
      <c r="D107" s="89" t="s">
        <v>581</v>
      </c>
      <c r="E107" s="508" t="s">
        <v>1795</v>
      </c>
      <c r="F107" s="144"/>
      <c r="G107" s="91"/>
      <c r="H107" s="91"/>
      <c r="I107" s="91"/>
      <c r="J107" s="151"/>
      <c r="K107" s="151"/>
      <c r="L107" s="144"/>
      <c r="M107" s="151"/>
      <c r="N107" s="144"/>
      <c r="O107" s="91"/>
      <c r="P107" s="91"/>
      <c r="Q107" s="152"/>
      <c r="R107" s="133"/>
      <c r="S107" s="153"/>
      <c r="T107" s="133"/>
      <c r="U107" s="154"/>
      <c r="V107" s="154"/>
      <c r="W107" s="152"/>
      <c r="X107" s="133"/>
      <c r="Y107" s="154"/>
      <c r="Z107" s="152"/>
      <c r="AA107" s="122"/>
      <c r="AB107" s="122"/>
      <c r="AC107" s="122"/>
      <c r="AD107" s="122"/>
      <c r="AE107" s="122"/>
      <c r="AF107" s="122"/>
      <c r="AG107" s="122"/>
      <c r="AH107" s="122"/>
      <c r="AI107" s="122"/>
      <c r="AJ107" s="122"/>
      <c r="AK107" s="122"/>
      <c r="AL107" s="122"/>
      <c r="AM107" s="122"/>
      <c r="AN107" s="122"/>
      <c r="AO107" s="122"/>
    </row>
    <row r="108" spans="2:41">
      <c r="B108" s="9">
        <v>100</v>
      </c>
      <c r="C108" s="136" t="s">
        <v>378</v>
      </c>
      <c r="D108" s="89" t="s">
        <v>581</v>
      </c>
      <c r="E108" s="508" t="s">
        <v>1711</v>
      </c>
      <c r="F108" s="144"/>
      <c r="G108" s="91"/>
      <c r="H108" s="91"/>
      <c r="I108" s="91"/>
      <c r="J108" s="144"/>
      <c r="K108" s="144"/>
      <c r="L108" s="144"/>
      <c r="M108" s="144"/>
      <c r="N108" s="144"/>
      <c r="O108" s="91"/>
      <c r="P108" s="91"/>
      <c r="Q108" s="152"/>
      <c r="R108" s="133"/>
      <c r="S108" s="153"/>
      <c r="T108" s="133"/>
      <c r="U108" s="152"/>
      <c r="V108" s="152"/>
      <c r="W108" s="152"/>
      <c r="X108" s="133"/>
      <c r="Y108" s="152"/>
      <c r="Z108" s="152"/>
      <c r="AA108" s="122"/>
      <c r="AB108" s="122"/>
      <c r="AC108" s="122"/>
      <c r="AD108" s="122"/>
      <c r="AE108" s="122"/>
      <c r="AF108" s="122"/>
      <c r="AG108" s="122"/>
      <c r="AH108" s="122"/>
      <c r="AI108" s="122"/>
      <c r="AJ108" s="122"/>
      <c r="AK108" s="122"/>
      <c r="AL108" s="122"/>
      <c r="AM108" s="122"/>
      <c r="AN108" s="122"/>
      <c r="AO108" s="122"/>
    </row>
    <row r="109" spans="2:41">
      <c r="B109" s="9">
        <v>101</v>
      </c>
      <c r="C109" s="49" t="s">
        <v>379</v>
      </c>
      <c r="D109" s="89" t="s">
        <v>581</v>
      </c>
      <c r="E109" s="508" t="s">
        <v>1870</v>
      </c>
      <c r="F109" s="91"/>
      <c r="G109" s="141"/>
      <c r="H109" s="141"/>
      <c r="I109" s="141"/>
      <c r="J109" s="91"/>
      <c r="K109" s="91"/>
      <c r="L109" s="91"/>
      <c r="M109" s="91"/>
      <c r="N109" s="91"/>
      <c r="O109" s="91"/>
      <c r="P109" s="91"/>
      <c r="Q109" s="133"/>
      <c r="R109" s="133"/>
      <c r="S109" s="142"/>
      <c r="T109" s="133"/>
      <c r="U109" s="133"/>
      <c r="V109" s="133"/>
      <c r="W109" s="133"/>
      <c r="X109" s="133"/>
      <c r="Y109" s="133"/>
      <c r="Z109" s="133"/>
      <c r="AA109" s="122"/>
      <c r="AB109" s="122"/>
      <c r="AC109" s="122"/>
      <c r="AD109" s="122"/>
      <c r="AE109" s="122"/>
      <c r="AF109" s="122"/>
      <c r="AG109" s="122"/>
      <c r="AH109" s="122"/>
      <c r="AI109" s="122"/>
      <c r="AJ109" s="122"/>
      <c r="AK109" s="122"/>
      <c r="AL109" s="122"/>
      <c r="AM109" s="122"/>
      <c r="AN109" s="122"/>
      <c r="AO109" s="122"/>
    </row>
    <row r="110" spans="2:41">
      <c r="B110" s="9">
        <v>102</v>
      </c>
      <c r="C110" s="49" t="s">
        <v>113</v>
      </c>
      <c r="D110" s="89">
        <v>3</v>
      </c>
      <c r="E110" s="508" t="s">
        <v>1758</v>
      </c>
      <c r="F110" s="144">
        <v>46505.798913669598</v>
      </c>
      <c r="G110" s="91"/>
      <c r="H110" s="91"/>
      <c r="I110" s="91">
        <v>24.01941644240625</v>
      </c>
      <c r="J110" s="151">
        <v>31712.518003351866</v>
      </c>
      <c r="K110" s="151">
        <v>46045.773936902682</v>
      </c>
      <c r="L110" s="144">
        <v>46505.798913669598</v>
      </c>
      <c r="M110" s="151">
        <v>287159.19774426933</v>
      </c>
      <c r="N110" s="144">
        <v>212808.99297273095</v>
      </c>
      <c r="O110" s="91">
        <f>MIN(K110,L110,M110,N110)</f>
        <v>46045.773936902682</v>
      </c>
      <c r="P110" s="91">
        <f>MIN(M110,N110)</f>
        <v>212808.99297273095</v>
      </c>
      <c r="Q110" s="152"/>
      <c r="R110" s="133"/>
      <c r="S110" s="153"/>
      <c r="T110" s="133"/>
      <c r="U110" s="154"/>
      <c r="V110" s="154"/>
      <c r="W110" s="152"/>
      <c r="X110" s="133"/>
      <c r="Y110" s="154"/>
      <c r="Z110" s="152"/>
      <c r="AA110" s="122"/>
      <c r="AB110" s="122"/>
      <c r="AC110" s="122"/>
      <c r="AD110" s="122"/>
      <c r="AE110" s="122"/>
      <c r="AF110" s="122"/>
      <c r="AG110" s="122"/>
      <c r="AH110" s="122"/>
      <c r="AI110" s="122"/>
      <c r="AJ110" s="122"/>
      <c r="AK110" s="122"/>
      <c r="AL110" s="122"/>
      <c r="AM110" s="122"/>
      <c r="AN110" s="122"/>
      <c r="AO110" s="122"/>
    </row>
    <row r="111" spans="2:41">
      <c r="B111" s="9">
        <v>103</v>
      </c>
      <c r="C111" s="49" t="s">
        <v>114</v>
      </c>
      <c r="D111" s="89" t="s">
        <v>581</v>
      </c>
      <c r="E111" s="508" t="s">
        <v>1793</v>
      </c>
      <c r="F111" s="144">
        <v>107789.24049059166</v>
      </c>
      <c r="G111" s="91"/>
      <c r="H111" s="91"/>
      <c r="I111" s="91">
        <v>134.55347642306737</v>
      </c>
      <c r="J111" s="151">
        <v>69578.796529885614</v>
      </c>
      <c r="K111" s="151">
        <v>95273.381506507925</v>
      </c>
      <c r="L111" s="144">
        <v>107789.24049059166</v>
      </c>
      <c r="M111" s="151">
        <v>928323.89517030586</v>
      </c>
      <c r="N111" s="144">
        <v>687965.68187813996</v>
      </c>
      <c r="O111" s="91">
        <f>MIN(K111,L111,M111,N111)</f>
        <v>95273.381506507925</v>
      </c>
      <c r="P111" s="91">
        <f>MIN(M111,N111)</f>
        <v>687965.68187813996</v>
      </c>
      <c r="Q111" s="152"/>
      <c r="R111" s="133"/>
      <c r="S111" s="153"/>
      <c r="T111" s="133"/>
      <c r="U111" s="154"/>
      <c r="V111" s="154"/>
      <c r="W111" s="152"/>
      <c r="X111" s="133"/>
      <c r="Y111" s="154"/>
      <c r="Z111" s="152"/>
      <c r="AA111" s="122"/>
      <c r="AB111" s="122"/>
      <c r="AC111" s="122"/>
      <c r="AD111" s="122"/>
      <c r="AE111" s="122"/>
      <c r="AF111" s="122"/>
      <c r="AG111" s="122"/>
      <c r="AH111" s="122"/>
      <c r="AI111" s="122"/>
      <c r="AJ111" s="122"/>
      <c r="AK111" s="122"/>
      <c r="AL111" s="122"/>
      <c r="AM111" s="122"/>
      <c r="AN111" s="122"/>
      <c r="AO111" s="122"/>
    </row>
    <row r="112" spans="2:41">
      <c r="B112" s="9">
        <v>104</v>
      </c>
      <c r="C112" s="49" t="s">
        <v>115</v>
      </c>
      <c r="D112" s="89" t="s">
        <v>581</v>
      </c>
      <c r="E112" s="508" t="s">
        <v>1802</v>
      </c>
      <c r="F112" s="144">
        <v>11199.129919423856</v>
      </c>
      <c r="G112" s="91"/>
      <c r="H112" s="91"/>
      <c r="I112" s="91">
        <v>4.099044215689216</v>
      </c>
      <c r="J112" s="151">
        <v>6556.63790087912</v>
      </c>
      <c r="K112" s="151">
        <v>7936.1260786617704</v>
      </c>
      <c r="L112" s="144">
        <v>11199.129919423856</v>
      </c>
      <c r="M112" s="151">
        <v>68362.463637355628</v>
      </c>
      <c r="N112" s="144">
        <v>50662.30564119522</v>
      </c>
      <c r="O112" s="91">
        <f>MIN(K112,L112,M112,N112)</f>
        <v>7936.1260786617704</v>
      </c>
      <c r="P112" s="91">
        <f>MIN(M112,N112)</f>
        <v>50662.30564119522</v>
      </c>
      <c r="Q112" s="152"/>
      <c r="R112" s="133"/>
      <c r="S112" s="153"/>
      <c r="T112" s="133"/>
      <c r="U112" s="154"/>
      <c r="V112" s="154"/>
      <c r="W112" s="152"/>
      <c r="X112" s="133"/>
      <c r="Y112" s="154"/>
      <c r="Z112" s="152"/>
      <c r="AA112" s="122"/>
      <c r="AB112" s="122"/>
      <c r="AC112" s="122"/>
      <c r="AD112" s="122"/>
      <c r="AE112" s="122"/>
      <c r="AF112" s="122"/>
      <c r="AG112" s="122"/>
      <c r="AH112" s="122"/>
      <c r="AI112" s="122"/>
      <c r="AJ112" s="122"/>
      <c r="AK112" s="122"/>
      <c r="AL112" s="122"/>
      <c r="AM112" s="122"/>
      <c r="AN112" s="122"/>
      <c r="AO112" s="122"/>
    </row>
    <row r="113" spans="2:41">
      <c r="B113" s="9">
        <v>105</v>
      </c>
      <c r="C113" s="49" t="s">
        <v>380</v>
      </c>
      <c r="D113" s="89" t="s">
        <v>582</v>
      </c>
      <c r="E113" s="508" t="s">
        <v>381</v>
      </c>
      <c r="F113" s="144"/>
      <c r="G113" s="91"/>
      <c r="H113" s="91"/>
      <c r="I113" s="91"/>
      <c r="J113" s="151"/>
      <c r="K113" s="151"/>
      <c r="L113" s="144"/>
      <c r="M113" s="151"/>
      <c r="N113" s="144"/>
      <c r="O113" s="91"/>
      <c r="P113" s="91"/>
      <c r="Q113" s="152"/>
      <c r="R113" s="133"/>
      <c r="S113" s="153"/>
      <c r="T113" s="133"/>
      <c r="U113" s="154"/>
      <c r="V113" s="154"/>
      <c r="W113" s="152"/>
      <c r="X113" s="133"/>
      <c r="Y113" s="154"/>
      <c r="Z113" s="152"/>
      <c r="AA113" s="122"/>
      <c r="AB113" s="122"/>
      <c r="AC113" s="122"/>
      <c r="AD113" s="122"/>
      <c r="AE113" s="122"/>
      <c r="AF113" s="122"/>
      <c r="AG113" s="122"/>
      <c r="AH113" s="122"/>
      <c r="AI113" s="122"/>
      <c r="AJ113" s="122"/>
      <c r="AK113" s="122"/>
      <c r="AL113" s="122"/>
      <c r="AM113" s="122"/>
      <c r="AN113" s="122"/>
      <c r="AO113" s="122"/>
    </row>
    <row r="114" spans="2:41">
      <c r="B114" s="9">
        <v>106</v>
      </c>
      <c r="C114" s="49" t="s">
        <v>382</v>
      </c>
      <c r="D114" s="89" t="s">
        <v>581</v>
      </c>
      <c r="E114" s="508" t="s">
        <v>1788</v>
      </c>
      <c r="F114" s="144"/>
      <c r="G114" s="91"/>
      <c r="H114" s="91"/>
      <c r="I114" s="91"/>
      <c r="J114" s="151"/>
      <c r="K114" s="151"/>
      <c r="L114" s="144"/>
      <c r="M114" s="151"/>
      <c r="N114" s="144"/>
      <c r="O114" s="91"/>
      <c r="P114" s="91"/>
      <c r="Q114" s="152"/>
      <c r="R114" s="133"/>
      <c r="S114" s="153"/>
      <c r="T114" s="133"/>
      <c r="U114" s="154"/>
      <c r="V114" s="154"/>
      <c r="W114" s="152"/>
      <c r="X114" s="133"/>
      <c r="Y114" s="154"/>
      <c r="Z114" s="152"/>
      <c r="AA114" s="122"/>
      <c r="AB114" s="122"/>
      <c r="AC114" s="122"/>
      <c r="AD114" s="122"/>
      <c r="AE114" s="122"/>
      <c r="AF114" s="122"/>
      <c r="AG114" s="122"/>
      <c r="AH114" s="122"/>
      <c r="AI114" s="122"/>
      <c r="AJ114" s="122"/>
      <c r="AK114" s="122"/>
      <c r="AL114" s="122"/>
      <c r="AM114" s="122"/>
      <c r="AN114" s="122"/>
      <c r="AO114" s="122"/>
    </row>
    <row r="115" spans="2:41">
      <c r="B115" s="9">
        <v>107</v>
      </c>
      <c r="C115" s="49" t="s">
        <v>77</v>
      </c>
      <c r="D115" s="89" t="s">
        <v>581</v>
      </c>
      <c r="E115" s="508" t="s">
        <v>1812</v>
      </c>
      <c r="F115" s="144">
        <v>1234.9045456104641</v>
      </c>
      <c r="G115" s="91"/>
      <c r="H115" s="91"/>
      <c r="I115" s="91">
        <v>3.284736997093133</v>
      </c>
      <c r="J115" s="151">
        <v>4.4451302526832537</v>
      </c>
      <c r="K115" s="151">
        <v>127.78508199227082</v>
      </c>
      <c r="L115" s="144">
        <v>1234.9045456104641</v>
      </c>
      <c r="M115" s="151">
        <v>18.701619962558585</v>
      </c>
      <c r="N115" s="144">
        <v>63.459628180350457</v>
      </c>
      <c r="O115" s="91">
        <f>MIN(K115,L115,M115,N115)</f>
        <v>18.701619962558585</v>
      </c>
      <c r="P115" s="91">
        <f>MIN(M115,N115)</f>
        <v>18.701619962558585</v>
      </c>
      <c r="Q115" s="152"/>
      <c r="R115" s="133"/>
      <c r="S115" s="153"/>
      <c r="T115" s="133"/>
      <c r="U115" s="154"/>
      <c r="V115" s="154"/>
      <c r="W115" s="152"/>
      <c r="X115" s="133"/>
      <c r="Y115" s="154"/>
      <c r="Z115" s="152"/>
      <c r="AA115" s="122"/>
      <c r="AB115" s="122"/>
      <c r="AC115" s="122"/>
      <c r="AD115" s="122"/>
      <c r="AE115" s="122"/>
      <c r="AF115" s="122"/>
      <c r="AG115" s="122"/>
      <c r="AH115" s="122"/>
      <c r="AI115" s="122"/>
      <c r="AJ115" s="122"/>
      <c r="AK115" s="122"/>
      <c r="AL115" s="122"/>
      <c r="AM115" s="122"/>
      <c r="AN115" s="122"/>
      <c r="AO115" s="122"/>
    </row>
    <row r="116" spans="2:41" s="148" customFormat="1">
      <c r="B116" s="9">
        <v>108</v>
      </c>
      <c r="C116" s="49" t="s">
        <v>51</v>
      </c>
      <c r="D116" s="89" t="s">
        <v>583</v>
      </c>
      <c r="E116" s="508" t="s">
        <v>50</v>
      </c>
      <c r="F116" s="91">
        <v>0.29913199367254212</v>
      </c>
      <c r="G116" s="159"/>
      <c r="H116" s="159"/>
      <c r="I116" s="159">
        <v>9.4247295437255939E-5</v>
      </c>
      <c r="J116" s="91">
        <v>0.12897719358802712</v>
      </c>
      <c r="K116" s="91">
        <v>0.29913199367254212</v>
      </c>
      <c r="L116" s="91">
        <v>0.29913199367254212</v>
      </c>
      <c r="M116" s="91">
        <v>0.54287481118127823</v>
      </c>
      <c r="N116" s="91">
        <v>0.55329828515025603</v>
      </c>
      <c r="O116" s="91">
        <f>MIN(K116,L116,M116,N116)</f>
        <v>0.29913199367254212</v>
      </c>
      <c r="P116" s="91">
        <f>MIN(M116,N116)</f>
        <v>0.54287481118127823</v>
      </c>
      <c r="Q116" s="152"/>
      <c r="R116" s="133"/>
      <c r="S116" s="153"/>
      <c r="T116" s="160"/>
      <c r="U116" s="154"/>
      <c r="V116" s="154"/>
      <c r="W116" s="154"/>
      <c r="X116" s="133"/>
      <c r="Y116" s="154"/>
      <c r="Z116" s="154"/>
      <c r="AA116" s="147"/>
      <c r="AB116" s="147"/>
      <c r="AC116" s="147"/>
      <c r="AD116" s="147"/>
      <c r="AE116" s="147"/>
      <c r="AF116" s="147"/>
      <c r="AG116" s="147"/>
      <c r="AH116" s="147"/>
      <c r="AI116" s="147"/>
      <c r="AJ116" s="147"/>
      <c r="AK116" s="147"/>
      <c r="AL116" s="147"/>
      <c r="AM116" s="147"/>
      <c r="AN116" s="147"/>
      <c r="AO116" s="147"/>
    </row>
    <row r="117" spans="2:41">
      <c r="B117" s="9">
        <v>109</v>
      </c>
      <c r="C117" s="49" t="s">
        <v>383</v>
      </c>
      <c r="D117" s="89" t="s">
        <v>581</v>
      </c>
      <c r="E117" s="508" t="s">
        <v>1676</v>
      </c>
      <c r="F117" s="91"/>
      <c r="G117" s="159"/>
      <c r="H117" s="159"/>
      <c r="I117" s="159"/>
      <c r="J117" s="91"/>
      <c r="K117" s="91"/>
      <c r="L117" s="91"/>
      <c r="M117" s="91"/>
      <c r="N117" s="91"/>
      <c r="O117" s="91"/>
      <c r="P117" s="91"/>
      <c r="Q117" s="152"/>
      <c r="R117" s="133"/>
      <c r="S117" s="153"/>
      <c r="T117" s="160"/>
      <c r="U117" s="154"/>
      <c r="V117" s="154"/>
      <c r="W117" s="154"/>
      <c r="X117" s="133"/>
      <c r="Y117" s="154"/>
      <c r="Z117" s="154"/>
      <c r="AA117" s="122"/>
      <c r="AB117" s="122"/>
      <c r="AC117" s="122"/>
      <c r="AD117" s="122"/>
      <c r="AE117" s="122"/>
      <c r="AF117" s="122"/>
      <c r="AG117" s="122"/>
      <c r="AH117" s="122"/>
      <c r="AI117" s="122"/>
      <c r="AJ117" s="122"/>
      <c r="AK117" s="122"/>
      <c r="AL117" s="122"/>
      <c r="AM117" s="122"/>
      <c r="AN117" s="122"/>
      <c r="AO117" s="122"/>
    </row>
    <row r="118" spans="2:41">
      <c r="B118" s="9">
        <v>110</v>
      </c>
      <c r="C118" s="49" t="s">
        <v>53</v>
      </c>
      <c r="D118" s="89" t="s">
        <v>582</v>
      </c>
      <c r="E118" s="508" t="s">
        <v>52</v>
      </c>
      <c r="F118" s="145">
        <v>0.97691496224612762</v>
      </c>
      <c r="G118" s="159"/>
      <c r="H118" s="159"/>
      <c r="I118" s="159">
        <v>6.1741384417245387E-4</v>
      </c>
      <c r="J118" s="141">
        <v>1.1545774974210096E-2</v>
      </c>
      <c r="K118" s="145">
        <v>0.27079575808273176</v>
      </c>
      <c r="L118" s="145">
        <v>0.97691496224612762</v>
      </c>
      <c r="M118" s="145">
        <v>7.4630898906594925E-2</v>
      </c>
      <c r="N118" s="145">
        <v>0.2308488910070722</v>
      </c>
      <c r="O118" s="91">
        <f>MIN(K118,L118,M118,N118)</f>
        <v>7.4630898906594925E-2</v>
      </c>
      <c r="P118" s="91">
        <f>MIN(M118,N118)</f>
        <v>7.4630898906594925E-2</v>
      </c>
      <c r="Q118" s="133"/>
      <c r="R118" s="161"/>
      <c r="S118" s="153"/>
      <c r="T118" s="160"/>
      <c r="U118" s="146"/>
      <c r="V118" s="133"/>
      <c r="W118" s="154"/>
      <c r="X118" s="146"/>
      <c r="Y118" s="146"/>
      <c r="Z118" s="146"/>
      <c r="AA118" s="122"/>
      <c r="AB118" s="122"/>
      <c r="AC118" s="122"/>
      <c r="AD118" s="122"/>
      <c r="AE118" s="122"/>
      <c r="AF118" s="122"/>
      <c r="AG118" s="122"/>
      <c r="AH118" s="122"/>
      <c r="AI118" s="122"/>
      <c r="AJ118" s="122"/>
      <c r="AK118" s="122"/>
      <c r="AL118" s="122"/>
      <c r="AM118" s="122"/>
      <c r="AN118" s="122"/>
      <c r="AO118" s="122"/>
    </row>
    <row r="119" spans="2:41">
      <c r="B119" s="9">
        <v>111</v>
      </c>
      <c r="C119" s="49" t="s">
        <v>69</v>
      </c>
      <c r="D119" s="89">
        <v>3</v>
      </c>
      <c r="E119" s="508" t="s">
        <v>1767</v>
      </c>
      <c r="F119" s="91">
        <v>32.364235316321661</v>
      </c>
      <c r="G119" s="91"/>
      <c r="H119" s="159"/>
      <c r="I119" s="145">
        <v>0.11001466814254791</v>
      </c>
      <c r="J119" s="145">
        <v>0.11001466814254791</v>
      </c>
      <c r="K119" s="91">
        <v>3.1801054150926493</v>
      </c>
      <c r="L119" s="91">
        <v>32.364235316321661</v>
      </c>
      <c r="M119" s="145">
        <v>0.46278462903566614</v>
      </c>
      <c r="N119" s="145">
        <v>1.5712349035149533</v>
      </c>
      <c r="O119" s="91">
        <f>MIN(K119,L119,M119,N119)</f>
        <v>0.46278462903566614</v>
      </c>
      <c r="P119" s="91">
        <f>MIN(M119,N119)</f>
        <v>0.46278462903566614</v>
      </c>
      <c r="Q119" s="152"/>
      <c r="R119" s="133"/>
      <c r="S119" s="153"/>
      <c r="T119" s="160"/>
      <c r="U119" s="146"/>
      <c r="V119" s="133"/>
      <c r="W119" s="154"/>
      <c r="X119" s="133"/>
      <c r="Y119" s="154"/>
      <c r="Z119" s="133"/>
      <c r="AA119" s="122"/>
      <c r="AB119" s="122"/>
      <c r="AC119" s="122"/>
      <c r="AD119" s="122"/>
      <c r="AE119" s="122"/>
      <c r="AF119" s="122"/>
      <c r="AG119" s="122"/>
      <c r="AH119" s="122"/>
      <c r="AI119" s="122"/>
      <c r="AJ119" s="122"/>
      <c r="AK119" s="122"/>
      <c r="AL119" s="122"/>
      <c r="AM119" s="122"/>
      <c r="AN119" s="122"/>
      <c r="AO119" s="122"/>
    </row>
    <row r="120" spans="2:41">
      <c r="B120" s="9">
        <v>112</v>
      </c>
      <c r="C120" s="49" t="s">
        <v>384</v>
      </c>
      <c r="D120" s="89" t="s">
        <v>581</v>
      </c>
      <c r="E120" s="508" t="s">
        <v>1747</v>
      </c>
      <c r="F120" s="145"/>
      <c r="G120" s="159"/>
      <c r="H120" s="159"/>
      <c r="I120" s="159"/>
      <c r="J120" s="141"/>
      <c r="K120" s="145"/>
      <c r="L120" s="145"/>
      <c r="M120" s="145"/>
      <c r="N120" s="145"/>
      <c r="O120" s="91"/>
      <c r="P120" s="91"/>
      <c r="Q120" s="152"/>
      <c r="R120" s="133"/>
      <c r="S120" s="153"/>
      <c r="T120" s="160"/>
      <c r="U120" s="146"/>
      <c r="V120" s="133"/>
      <c r="W120" s="154"/>
      <c r="X120" s="133"/>
      <c r="Y120" s="154"/>
      <c r="Z120" s="133"/>
      <c r="AA120" s="122"/>
      <c r="AB120" s="122"/>
      <c r="AC120" s="122"/>
      <c r="AD120" s="122"/>
      <c r="AE120" s="122"/>
      <c r="AF120" s="122"/>
      <c r="AG120" s="122"/>
      <c r="AH120" s="122"/>
      <c r="AI120" s="122"/>
      <c r="AJ120" s="122"/>
      <c r="AK120" s="122"/>
      <c r="AL120" s="122"/>
      <c r="AM120" s="122"/>
      <c r="AN120" s="122"/>
      <c r="AO120" s="122"/>
    </row>
    <row r="121" spans="2:41">
      <c r="B121" s="9">
        <v>113</v>
      </c>
      <c r="C121" s="49" t="s">
        <v>82</v>
      </c>
      <c r="D121" s="89" t="s">
        <v>582</v>
      </c>
      <c r="E121" s="508" t="s">
        <v>1881</v>
      </c>
      <c r="F121" s="151">
        <v>30.415118344313026</v>
      </c>
      <c r="G121" s="145"/>
      <c r="H121" s="145"/>
      <c r="I121" s="145">
        <v>9.4160707002133703E-3</v>
      </c>
      <c r="J121" s="91">
        <v>0.54451151371741313</v>
      </c>
      <c r="K121" s="151">
        <v>11.235167663250131</v>
      </c>
      <c r="L121" s="151">
        <v>30.415118344313026</v>
      </c>
      <c r="M121" s="151">
        <v>3.4965395959746335</v>
      </c>
      <c r="N121" s="151">
        <v>10.267656440669644</v>
      </c>
      <c r="O121" s="91">
        <f>MIN(K121,L121,M121,N121)</f>
        <v>3.4965395959746335</v>
      </c>
      <c r="P121" s="91">
        <f>MIN(M121,N121)</f>
        <v>3.4965395959746335</v>
      </c>
      <c r="Q121" s="152"/>
      <c r="R121" s="133"/>
      <c r="S121" s="153"/>
      <c r="T121" s="160"/>
      <c r="U121" s="146"/>
      <c r="V121" s="133"/>
      <c r="W121" s="154"/>
      <c r="X121" s="133"/>
      <c r="Y121" s="154"/>
      <c r="Z121" s="133"/>
      <c r="AA121" s="122"/>
      <c r="AB121" s="122"/>
      <c r="AC121" s="122"/>
      <c r="AD121" s="122"/>
      <c r="AE121" s="122"/>
      <c r="AF121" s="122"/>
      <c r="AG121" s="122"/>
      <c r="AH121" s="122"/>
      <c r="AI121" s="122"/>
      <c r="AJ121" s="122"/>
      <c r="AK121" s="122"/>
      <c r="AL121" s="122"/>
      <c r="AM121" s="122"/>
      <c r="AN121" s="122"/>
      <c r="AO121" s="122"/>
    </row>
    <row r="122" spans="2:41">
      <c r="B122" s="9">
        <v>114</v>
      </c>
      <c r="C122" s="49" t="s">
        <v>78</v>
      </c>
      <c r="D122" s="89">
        <v>3</v>
      </c>
      <c r="E122" s="508" t="s">
        <v>1834</v>
      </c>
      <c r="F122" s="151">
        <v>46.706049207358312</v>
      </c>
      <c r="G122" s="91"/>
      <c r="H122" s="91"/>
      <c r="I122" s="91">
        <v>0.12619580415673354</v>
      </c>
      <c r="J122" s="91">
        <v>0.53528304756787304</v>
      </c>
      <c r="K122" s="151">
        <v>14.228984187628244</v>
      </c>
      <c r="L122" s="151">
        <v>46.706049207358312</v>
      </c>
      <c r="M122" s="151">
        <v>3.4780605286393866</v>
      </c>
      <c r="N122" s="151">
        <v>11.314759666961146</v>
      </c>
      <c r="O122" s="91">
        <f>MIN(K122,L122,M122,N122)</f>
        <v>3.4780605286393866</v>
      </c>
      <c r="P122" s="91">
        <f>MIN(M122,N122)</f>
        <v>3.4780605286393866</v>
      </c>
      <c r="Q122" s="152"/>
      <c r="R122" s="133"/>
      <c r="S122" s="153"/>
      <c r="T122" s="160"/>
      <c r="U122" s="146"/>
      <c r="V122" s="133"/>
      <c r="W122" s="154"/>
      <c r="X122" s="133"/>
      <c r="Y122" s="154"/>
      <c r="Z122" s="133"/>
      <c r="AA122" s="122"/>
      <c r="AB122" s="122"/>
      <c r="AC122" s="122"/>
      <c r="AD122" s="122"/>
      <c r="AE122" s="122"/>
      <c r="AF122" s="122"/>
      <c r="AG122" s="122"/>
      <c r="AH122" s="122"/>
      <c r="AI122" s="122"/>
      <c r="AJ122" s="122"/>
      <c r="AK122" s="122"/>
      <c r="AL122" s="122"/>
      <c r="AM122" s="122"/>
      <c r="AN122" s="122"/>
      <c r="AO122" s="122"/>
    </row>
    <row r="123" spans="2:41">
      <c r="B123" s="9">
        <v>115</v>
      </c>
      <c r="C123" s="49" t="s">
        <v>385</v>
      </c>
      <c r="D123" s="89" t="s">
        <v>581</v>
      </c>
      <c r="E123" s="508" t="s">
        <v>1647</v>
      </c>
      <c r="F123" s="144"/>
      <c r="G123" s="91"/>
      <c r="H123" s="91"/>
      <c r="I123" s="91"/>
      <c r="J123" s="151"/>
      <c r="K123" s="151"/>
      <c r="L123" s="144"/>
      <c r="M123" s="151"/>
      <c r="N123" s="144"/>
      <c r="O123" s="91"/>
      <c r="P123" s="91"/>
      <c r="Q123" s="152"/>
      <c r="R123" s="133"/>
      <c r="S123" s="153"/>
      <c r="T123" s="133"/>
      <c r="U123" s="154"/>
      <c r="V123" s="154"/>
      <c r="W123" s="152"/>
      <c r="X123" s="133"/>
      <c r="Y123" s="154"/>
      <c r="Z123" s="152"/>
      <c r="AA123" s="122"/>
      <c r="AB123" s="122"/>
      <c r="AC123" s="122"/>
      <c r="AD123" s="122"/>
      <c r="AE123" s="122"/>
      <c r="AF123" s="122"/>
      <c r="AG123" s="122"/>
      <c r="AH123" s="122"/>
      <c r="AI123" s="122"/>
      <c r="AJ123" s="122"/>
      <c r="AK123" s="122"/>
      <c r="AL123" s="122"/>
      <c r="AM123" s="122"/>
      <c r="AN123" s="122"/>
      <c r="AO123" s="122"/>
    </row>
    <row r="124" spans="2:41">
      <c r="B124" s="9">
        <v>116</v>
      </c>
      <c r="C124" s="49" t="s">
        <v>85</v>
      </c>
      <c r="D124" s="89" t="s">
        <v>581</v>
      </c>
      <c r="E124" s="508" t="s">
        <v>1929</v>
      </c>
      <c r="F124" s="144">
        <v>2722.1038645239983</v>
      </c>
      <c r="G124" s="91"/>
      <c r="H124" s="91"/>
      <c r="I124" s="91">
        <v>1.6817111783139185</v>
      </c>
      <c r="J124" s="151">
        <v>1953.8624410177099</v>
      </c>
      <c r="K124" s="151">
        <v>2722.1038645239983</v>
      </c>
      <c r="L124" s="144">
        <v>2722.1038645239983</v>
      </c>
      <c r="M124" s="151">
        <v>6794.1308302622338</v>
      </c>
      <c r="N124" s="144">
        <v>5035.0194298867609</v>
      </c>
      <c r="O124" s="91">
        <f>MIN(K124,L124,M124,N124)</f>
        <v>2722.1038645239983</v>
      </c>
      <c r="P124" s="91">
        <f>MIN(M124,N124)</f>
        <v>5035.0194298867609</v>
      </c>
      <c r="Q124" s="152"/>
      <c r="R124" s="133"/>
      <c r="S124" s="153"/>
      <c r="T124" s="133"/>
      <c r="U124" s="154"/>
      <c r="V124" s="154"/>
      <c r="W124" s="152"/>
      <c r="X124" s="133"/>
      <c r="Y124" s="154"/>
      <c r="Z124" s="152"/>
      <c r="AA124" s="122"/>
      <c r="AB124" s="122"/>
      <c r="AC124" s="122"/>
      <c r="AD124" s="122"/>
      <c r="AE124" s="122"/>
      <c r="AF124" s="122"/>
      <c r="AG124" s="122"/>
      <c r="AH124" s="122"/>
      <c r="AI124" s="122"/>
      <c r="AJ124" s="122"/>
      <c r="AK124" s="122"/>
      <c r="AL124" s="122"/>
      <c r="AM124" s="122"/>
      <c r="AN124" s="122"/>
      <c r="AO124" s="122"/>
    </row>
    <row r="125" spans="2:41">
      <c r="B125" s="9">
        <v>117</v>
      </c>
      <c r="C125" s="49" t="s">
        <v>386</v>
      </c>
      <c r="D125" s="89" t="s">
        <v>581</v>
      </c>
      <c r="E125" s="508" t="s">
        <v>1703</v>
      </c>
      <c r="F125" s="144"/>
      <c r="G125" s="91"/>
      <c r="H125" s="91"/>
      <c r="I125" s="91"/>
      <c r="J125" s="151"/>
      <c r="K125" s="151"/>
      <c r="L125" s="144"/>
      <c r="M125" s="151"/>
      <c r="N125" s="144"/>
      <c r="O125" s="91"/>
      <c r="P125" s="91"/>
      <c r="Q125" s="152"/>
      <c r="R125" s="133"/>
      <c r="S125" s="153"/>
      <c r="T125" s="133"/>
      <c r="U125" s="154"/>
      <c r="V125" s="154"/>
      <c r="W125" s="152"/>
      <c r="X125" s="133"/>
      <c r="Y125" s="154"/>
      <c r="Z125" s="152"/>
      <c r="AA125" s="122"/>
      <c r="AB125" s="122"/>
      <c r="AC125" s="122"/>
      <c r="AD125" s="122"/>
      <c r="AE125" s="122"/>
      <c r="AF125" s="122"/>
      <c r="AG125" s="122"/>
      <c r="AH125" s="122"/>
      <c r="AI125" s="122"/>
      <c r="AJ125" s="122"/>
      <c r="AK125" s="122"/>
      <c r="AL125" s="122"/>
      <c r="AM125" s="122"/>
      <c r="AN125" s="122"/>
      <c r="AO125" s="122"/>
    </row>
    <row r="126" spans="2:41">
      <c r="B126" s="9">
        <v>118</v>
      </c>
      <c r="C126" s="49" t="s">
        <v>387</v>
      </c>
      <c r="D126" s="89" t="s">
        <v>582</v>
      </c>
      <c r="E126" s="508" t="s">
        <v>1731</v>
      </c>
      <c r="F126" s="144"/>
      <c r="G126" s="91"/>
      <c r="H126" s="91"/>
      <c r="I126" s="91"/>
      <c r="J126" s="151"/>
      <c r="K126" s="151"/>
      <c r="L126" s="144"/>
      <c r="M126" s="151"/>
      <c r="N126" s="144"/>
      <c r="O126" s="91"/>
      <c r="P126" s="91"/>
      <c r="Q126" s="152"/>
      <c r="R126" s="133"/>
      <c r="S126" s="153"/>
      <c r="T126" s="133"/>
      <c r="U126" s="154"/>
      <c r="V126" s="154"/>
      <c r="W126" s="152"/>
      <c r="X126" s="133"/>
      <c r="Y126" s="154"/>
      <c r="Z126" s="152"/>
      <c r="AA126" s="122"/>
      <c r="AB126" s="122"/>
      <c r="AC126" s="122"/>
      <c r="AD126" s="122"/>
      <c r="AE126" s="122"/>
      <c r="AF126" s="122"/>
      <c r="AG126" s="122"/>
      <c r="AH126" s="122"/>
      <c r="AI126" s="122"/>
      <c r="AJ126" s="122"/>
      <c r="AK126" s="122"/>
      <c r="AL126" s="122"/>
      <c r="AM126" s="122"/>
      <c r="AN126" s="122"/>
      <c r="AO126" s="122"/>
    </row>
    <row r="127" spans="2:41">
      <c r="B127" s="9">
        <v>119</v>
      </c>
      <c r="C127" s="49" t="s">
        <v>388</v>
      </c>
      <c r="D127" s="89" t="s">
        <v>581</v>
      </c>
      <c r="E127" s="508" t="s">
        <v>1692</v>
      </c>
      <c r="F127" s="144"/>
      <c r="G127" s="91"/>
      <c r="H127" s="91"/>
      <c r="I127" s="91"/>
      <c r="J127" s="151"/>
      <c r="K127" s="151"/>
      <c r="L127" s="144"/>
      <c r="M127" s="151"/>
      <c r="N127" s="144"/>
      <c r="O127" s="91"/>
      <c r="P127" s="91"/>
      <c r="Q127" s="152"/>
      <c r="R127" s="133"/>
      <c r="S127" s="153"/>
      <c r="T127" s="133"/>
      <c r="U127" s="154"/>
      <c r="V127" s="154"/>
      <c r="W127" s="152"/>
      <c r="X127" s="133"/>
      <c r="Y127" s="154"/>
      <c r="Z127" s="152"/>
      <c r="AA127" s="122"/>
      <c r="AB127" s="122"/>
      <c r="AC127" s="122"/>
      <c r="AD127" s="122"/>
      <c r="AE127" s="122"/>
      <c r="AF127" s="122"/>
      <c r="AG127" s="122"/>
      <c r="AH127" s="122"/>
      <c r="AI127" s="122"/>
      <c r="AJ127" s="122"/>
      <c r="AK127" s="122"/>
      <c r="AL127" s="122"/>
      <c r="AM127" s="122"/>
      <c r="AN127" s="122"/>
      <c r="AO127" s="122"/>
    </row>
    <row r="128" spans="2:41">
      <c r="B128" s="9">
        <v>120</v>
      </c>
      <c r="C128" s="49" t="s">
        <v>389</v>
      </c>
      <c r="D128" s="89" t="s">
        <v>581</v>
      </c>
      <c r="E128" s="508" t="s">
        <v>1691</v>
      </c>
      <c r="F128" s="144"/>
      <c r="G128" s="91"/>
      <c r="H128" s="91"/>
      <c r="I128" s="91"/>
      <c r="J128" s="151"/>
      <c r="K128" s="151"/>
      <c r="L128" s="144"/>
      <c r="M128" s="151"/>
      <c r="N128" s="144"/>
      <c r="O128" s="91"/>
      <c r="P128" s="91"/>
      <c r="Q128" s="152"/>
      <c r="R128" s="133"/>
      <c r="S128" s="153"/>
      <c r="T128" s="133"/>
      <c r="U128" s="154"/>
      <c r="V128" s="154"/>
      <c r="W128" s="152"/>
      <c r="X128" s="133"/>
      <c r="Y128" s="154"/>
      <c r="Z128" s="152"/>
      <c r="AA128" s="122"/>
      <c r="AB128" s="122"/>
      <c r="AC128" s="122"/>
      <c r="AD128" s="122"/>
      <c r="AE128" s="122"/>
      <c r="AF128" s="122"/>
      <c r="AG128" s="122"/>
      <c r="AH128" s="122"/>
      <c r="AI128" s="122"/>
      <c r="AJ128" s="122"/>
      <c r="AK128" s="122"/>
      <c r="AL128" s="122"/>
      <c r="AM128" s="122"/>
      <c r="AN128" s="122"/>
      <c r="AO128" s="122"/>
    </row>
    <row r="129" spans="2:41">
      <c r="B129" s="9">
        <v>121</v>
      </c>
      <c r="C129" s="49" t="s">
        <v>390</v>
      </c>
      <c r="D129" s="89" t="s">
        <v>581</v>
      </c>
      <c r="E129" s="508" t="s">
        <v>1704</v>
      </c>
      <c r="F129" s="144"/>
      <c r="G129" s="91"/>
      <c r="H129" s="91"/>
      <c r="I129" s="91"/>
      <c r="J129" s="151"/>
      <c r="K129" s="151"/>
      <c r="L129" s="144"/>
      <c r="M129" s="151"/>
      <c r="N129" s="144"/>
      <c r="O129" s="91"/>
      <c r="P129" s="91"/>
      <c r="Q129" s="152"/>
      <c r="R129" s="133"/>
      <c r="S129" s="153"/>
      <c r="T129" s="133"/>
      <c r="U129" s="154"/>
      <c r="V129" s="154"/>
      <c r="W129" s="152"/>
      <c r="X129" s="133"/>
      <c r="Y129" s="154"/>
      <c r="Z129" s="152"/>
      <c r="AA129" s="122"/>
      <c r="AB129" s="122"/>
      <c r="AC129" s="122"/>
      <c r="AD129" s="122"/>
      <c r="AE129" s="122"/>
      <c r="AF129" s="122"/>
      <c r="AG129" s="122"/>
      <c r="AH129" s="122"/>
      <c r="AI129" s="122"/>
      <c r="AJ129" s="122"/>
      <c r="AK129" s="122"/>
      <c r="AL129" s="122"/>
      <c r="AM129" s="122"/>
      <c r="AN129" s="122"/>
      <c r="AO129" s="122"/>
    </row>
    <row r="130" spans="2:41">
      <c r="B130" s="9">
        <v>122</v>
      </c>
      <c r="C130" s="49" t="s">
        <v>137</v>
      </c>
      <c r="D130" s="89">
        <v>1</v>
      </c>
      <c r="E130" s="508" t="s">
        <v>1689</v>
      </c>
      <c r="F130" s="163">
        <v>6.8830366886898442E-5</v>
      </c>
      <c r="G130" s="163"/>
      <c r="H130" s="163"/>
      <c r="I130" s="163">
        <v>2.9922693133758217E-7</v>
      </c>
      <c r="J130" s="163">
        <v>4.8141848065927378E-5</v>
      </c>
      <c r="K130" s="163">
        <v>6.8378513563281435E-5</v>
      </c>
      <c r="L130" s="163">
        <v>6.8830366886898442E-5</v>
      </c>
      <c r="M130" s="163">
        <v>1.6850306118915896E-4</v>
      </c>
      <c r="N130" s="163">
        <v>1.2610040358315938E-4</v>
      </c>
      <c r="O130" s="164">
        <f>MIN(K130,L130,M130,N130)</f>
        <v>6.8378513563281435E-5</v>
      </c>
      <c r="P130" s="164">
        <f>MIN(M130,N130)</f>
        <v>1.2610040358315938E-4</v>
      </c>
      <c r="Q130" s="128"/>
      <c r="R130" s="128"/>
      <c r="S130" s="128"/>
      <c r="T130" s="128"/>
      <c r="U130" s="128"/>
      <c r="V130" s="128"/>
      <c r="W130" s="128"/>
      <c r="X130" s="129"/>
      <c r="Y130" s="128"/>
      <c r="Z130" s="128"/>
      <c r="AA130" s="122"/>
      <c r="AB130" s="122"/>
      <c r="AC130" s="122"/>
      <c r="AD130" s="122"/>
      <c r="AE130" s="122"/>
      <c r="AF130" s="122"/>
      <c r="AG130" s="122"/>
      <c r="AH130" s="122"/>
      <c r="AI130" s="122"/>
      <c r="AJ130" s="122"/>
      <c r="AK130" s="122"/>
      <c r="AL130" s="122"/>
      <c r="AM130" s="122"/>
      <c r="AN130" s="122"/>
      <c r="AO130" s="122"/>
    </row>
    <row r="131" spans="2:41">
      <c r="B131" s="9">
        <v>123</v>
      </c>
      <c r="C131" s="49" t="s">
        <v>391</v>
      </c>
      <c r="D131" s="89">
        <v>3</v>
      </c>
      <c r="E131" s="508" t="s">
        <v>392</v>
      </c>
      <c r="F131" s="165"/>
      <c r="G131" s="165"/>
      <c r="H131" s="165"/>
      <c r="I131" s="165"/>
      <c r="J131" s="165"/>
      <c r="K131" s="165"/>
      <c r="L131" s="165"/>
      <c r="M131" s="165"/>
      <c r="N131" s="165"/>
      <c r="O131" s="91"/>
      <c r="P131" s="91"/>
      <c r="Q131" s="128"/>
      <c r="R131" s="128"/>
      <c r="S131" s="128"/>
      <c r="T131" s="128"/>
      <c r="U131" s="128"/>
      <c r="V131" s="128"/>
      <c r="W131" s="128"/>
      <c r="X131" s="129"/>
      <c r="Y131" s="128"/>
      <c r="Z131" s="128"/>
      <c r="AA131" s="122"/>
      <c r="AB131" s="122"/>
      <c r="AC131" s="122"/>
      <c r="AD131" s="122"/>
      <c r="AE131" s="122"/>
      <c r="AF131" s="122"/>
      <c r="AG131" s="122"/>
      <c r="AH131" s="122"/>
      <c r="AI131" s="122"/>
      <c r="AJ131" s="122"/>
      <c r="AK131" s="122"/>
      <c r="AL131" s="122"/>
      <c r="AM131" s="122"/>
      <c r="AN131" s="122"/>
      <c r="AO131" s="122"/>
    </row>
    <row r="132" spans="2:41">
      <c r="B132" s="9">
        <v>124</v>
      </c>
      <c r="C132" s="49" t="s">
        <v>393</v>
      </c>
      <c r="D132" s="89" t="s">
        <v>581</v>
      </c>
      <c r="E132" s="508" t="s">
        <v>1814</v>
      </c>
      <c r="F132" s="165"/>
      <c r="G132" s="165"/>
      <c r="H132" s="165"/>
      <c r="I132" s="165"/>
      <c r="J132" s="165"/>
      <c r="K132" s="165"/>
      <c r="L132" s="165"/>
      <c r="M132" s="165"/>
      <c r="N132" s="165"/>
      <c r="O132" s="91"/>
      <c r="P132" s="91"/>
      <c r="Q132" s="128"/>
      <c r="R132" s="128"/>
      <c r="S132" s="128"/>
      <c r="T132" s="128"/>
      <c r="U132" s="128"/>
      <c r="V132" s="128"/>
      <c r="W132" s="128"/>
      <c r="X132" s="129"/>
      <c r="Y132" s="128"/>
      <c r="Z132" s="128"/>
      <c r="AA132" s="122"/>
      <c r="AB132" s="122"/>
      <c r="AC132" s="122"/>
      <c r="AD132" s="122"/>
      <c r="AE132" s="122"/>
      <c r="AF132" s="122"/>
      <c r="AG132" s="122"/>
      <c r="AH132" s="122"/>
      <c r="AI132" s="122"/>
      <c r="AJ132" s="122"/>
      <c r="AK132" s="122"/>
      <c r="AL132" s="122"/>
      <c r="AM132" s="122"/>
      <c r="AN132" s="122"/>
      <c r="AO132" s="122"/>
    </row>
    <row r="133" spans="2:41">
      <c r="B133" s="9">
        <v>125</v>
      </c>
      <c r="C133" s="136" t="s">
        <v>394</v>
      </c>
      <c r="D133" s="89" t="s">
        <v>581</v>
      </c>
      <c r="E133" s="508" t="s">
        <v>1656</v>
      </c>
      <c r="F133" s="144"/>
      <c r="G133" s="91"/>
      <c r="H133" s="91"/>
      <c r="I133" s="91"/>
      <c r="J133" s="144"/>
      <c r="K133" s="144"/>
      <c r="L133" s="144"/>
      <c r="M133" s="144"/>
      <c r="N133" s="144"/>
      <c r="O133" s="91"/>
      <c r="P133" s="91"/>
      <c r="Q133" s="152"/>
      <c r="R133" s="133"/>
      <c r="S133" s="153"/>
      <c r="T133" s="133"/>
      <c r="U133" s="152"/>
      <c r="V133" s="152"/>
      <c r="W133" s="152"/>
      <c r="X133" s="133"/>
      <c r="Y133" s="152"/>
      <c r="Z133" s="152"/>
      <c r="AA133" s="122"/>
      <c r="AB133" s="122"/>
      <c r="AC133" s="122"/>
      <c r="AD133" s="122"/>
      <c r="AE133" s="122"/>
      <c r="AF133" s="122"/>
      <c r="AG133" s="122"/>
      <c r="AH133" s="122"/>
      <c r="AI133" s="122"/>
      <c r="AJ133" s="122"/>
      <c r="AK133" s="122"/>
      <c r="AL133" s="122"/>
      <c r="AM133" s="122"/>
      <c r="AN133" s="122"/>
      <c r="AO133" s="122"/>
    </row>
    <row r="134" spans="2:41">
      <c r="B134" s="9">
        <v>126</v>
      </c>
      <c r="C134" s="136" t="s">
        <v>395</v>
      </c>
      <c r="D134" s="89" t="s">
        <v>581</v>
      </c>
      <c r="E134" s="508" t="s">
        <v>1710</v>
      </c>
      <c r="F134" s="144"/>
      <c r="G134" s="91"/>
      <c r="H134" s="91"/>
      <c r="I134" s="91"/>
      <c r="J134" s="144"/>
      <c r="K134" s="144"/>
      <c r="L134" s="144"/>
      <c r="M134" s="144"/>
      <c r="N134" s="144"/>
      <c r="O134" s="91"/>
      <c r="P134" s="91"/>
      <c r="Q134" s="152"/>
      <c r="R134" s="133"/>
      <c r="S134" s="153"/>
      <c r="T134" s="133"/>
      <c r="U134" s="152"/>
      <c r="V134" s="152"/>
      <c r="W134" s="152"/>
      <c r="X134" s="133"/>
      <c r="Y134" s="152"/>
      <c r="Z134" s="152"/>
      <c r="AA134" s="122"/>
      <c r="AB134" s="122"/>
      <c r="AC134" s="122"/>
      <c r="AD134" s="122"/>
      <c r="AE134" s="122"/>
      <c r="AF134" s="122"/>
      <c r="AG134" s="122"/>
      <c r="AH134" s="122"/>
      <c r="AI134" s="122"/>
      <c r="AJ134" s="122"/>
      <c r="AK134" s="122"/>
      <c r="AL134" s="122"/>
      <c r="AM134" s="122"/>
      <c r="AN134" s="122"/>
      <c r="AO134" s="122"/>
    </row>
    <row r="135" spans="2:41">
      <c r="B135" s="9">
        <v>127</v>
      </c>
      <c r="C135" s="136" t="s">
        <v>396</v>
      </c>
      <c r="D135" s="89" t="s">
        <v>581</v>
      </c>
      <c r="E135" s="508" t="s">
        <v>1752</v>
      </c>
      <c r="F135" s="144"/>
      <c r="G135" s="91"/>
      <c r="H135" s="91"/>
      <c r="I135" s="91"/>
      <c r="J135" s="144"/>
      <c r="K135" s="144"/>
      <c r="L135" s="144"/>
      <c r="M135" s="144"/>
      <c r="N135" s="144"/>
      <c r="O135" s="91"/>
      <c r="P135" s="91"/>
      <c r="Q135" s="152"/>
      <c r="R135" s="133"/>
      <c r="S135" s="153"/>
      <c r="T135" s="133"/>
      <c r="U135" s="152"/>
      <c r="V135" s="152"/>
      <c r="W135" s="152"/>
      <c r="X135" s="133"/>
      <c r="Y135" s="152"/>
      <c r="Z135" s="152"/>
      <c r="AA135" s="122"/>
      <c r="AB135" s="122"/>
      <c r="AC135" s="122"/>
      <c r="AD135" s="122"/>
      <c r="AE135" s="122"/>
      <c r="AF135" s="122"/>
      <c r="AG135" s="122"/>
      <c r="AH135" s="122"/>
      <c r="AI135" s="122"/>
      <c r="AJ135" s="122"/>
      <c r="AK135" s="122"/>
      <c r="AL135" s="122"/>
      <c r="AM135" s="122"/>
      <c r="AN135" s="122"/>
      <c r="AO135" s="122"/>
    </row>
    <row r="136" spans="2:41">
      <c r="B136" s="9">
        <v>128</v>
      </c>
      <c r="C136" s="49" t="s">
        <v>139</v>
      </c>
      <c r="D136" s="89" t="s">
        <v>582</v>
      </c>
      <c r="E136" s="508" t="s">
        <v>542</v>
      </c>
      <c r="F136" s="91">
        <v>6.8811541441318793</v>
      </c>
      <c r="G136" s="141"/>
      <c r="H136" s="141"/>
      <c r="I136" s="141">
        <v>8.1837346429176425E-3</v>
      </c>
      <c r="J136" s="91">
        <v>3.7017825905928685</v>
      </c>
      <c r="K136" s="91">
        <v>6.7832110363689164</v>
      </c>
      <c r="L136" s="91">
        <v>6.8811541441318793</v>
      </c>
      <c r="M136" s="151">
        <v>15.03272340258458</v>
      </c>
      <c r="N136" s="151">
        <v>12.225764612009604</v>
      </c>
      <c r="O136" s="91">
        <f>MIN(K136,L136,M136,N136)</f>
        <v>6.7832110363689164</v>
      </c>
      <c r="P136" s="91">
        <f>MIN(M136,N136)</f>
        <v>12.225764612009604</v>
      </c>
      <c r="Q136" s="152"/>
      <c r="R136" s="142"/>
      <c r="S136" s="153"/>
      <c r="T136" s="142"/>
      <c r="U136" s="154"/>
      <c r="V136" s="154"/>
      <c r="W136" s="152"/>
      <c r="X136" s="133"/>
      <c r="Y136" s="154"/>
      <c r="Z136" s="152"/>
      <c r="AA136" s="122"/>
      <c r="AB136" s="122"/>
      <c r="AC136" s="122"/>
      <c r="AD136" s="122"/>
      <c r="AE136" s="122"/>
      <c r="AF136" s="122"/>
      <c r="AG136" s="122"/>
      <c r="AH136" s="122"/>
      <c r="AI136" s="122"/>
      <c r="AJ136" s="122"/>
      <c r="AK136" s="122"/>
      <c r="AL136" s="122"/>
      <c r="AM136" s="122"/>
      <c r="AN136" s="122"/>
      <c r="AO136" s="122"/>
    </row>
    <row r="137" spans="2:41">
      <c r="B137" s="9">
        <v>129</v>
      </c>
      <c r="C137" s="136" t="s">
        <v>397</v>
      </c>
      <c r="D137" s="89" t="s">
        <v>550</v>
      </c>
      <c r="E137" s="512" t="s">
        <v>398</v>
      </c>
      <c r="F137" s="134"/>
      <c r="G137" s="134"/>
      <c r="H137" s="134"/>
      <c r="I137" s="135"/>
      <c r="J137" s="135"/>
      <c r="K137" s="135"/>
      <c r="L137" s="135"/>
      <c r="M137" s="135"/>
      <c r="N137" s="135"/>
      <c r="O137" s="91"/>
      <c r="P137" s="91"/>
      <c r="Q137" s="133"/>
      <c r="R137" s="133"/>
      <c r="S137" s="125"/>
      <c r="T137" s="133"/>
      <c r="U137" s="133"/>
      <c r="V137" s="133"/>
      <c r="W137" s="133"/>
      <c r="X137" s="133"/>
      <c r="Y137" s="133"/>
      <c r="Z137" s="133"/>
      <c r="AA137" s="122"/>
      <c r="AB137" s="122"/>
      <c r="AC137" s="122"/>
      <c r="AD137" s="122"/>
      <c r="AE137" s="122"/>
      <c r="AF137" s="122"/>
      <c r="AG137" s="122"/>
      <c r="AH137" s="122"/>
      <c r="AI137" s="122"/>
      <c r="AJ137" s="122"/>
      <c r="AK137" s="122"/>
      <c r="AL137" s="122"/>
      <c r="AM137" s="122"/>
      <c r="AN137" s="122"/>
      <c r="AO137" s="122"/>
    </row>
    <row r="138" spans="2:41">
      <c r="B138" s="9">
        <v>130</v>
      </c>
      <c r="C138" s="49" t="s">
        <v>55</v>
      </c>
      <c r="D138" s="89">
        <v>1</v>
      </c>
      <c r="E138" s="508" t="s">
        <v>54</v>
      </c>
      <c r="F138" s="144">
        <v>17.278331328519599</v>
      </c>
      <c r="G138" s="91"/>
      <c r="H138" s="91"/>
      <c r="I138" s="91">
        <v>2.3276425566599295E-2</v>
      </c>
      <c r="J138" s="91">
        <v>3.7637425347274739E-2</v>
      </c>
      <c r="K138" s="151">
        <v>1.1266570470337147</v>
      </c>
      <c r="L138" s="144">
        <v>17.278331328519599</v>
      </c>
      <c r="M138" s="91">
        <v>0.24591027197751561</v>
      </c>
      <c r="N138" s="91">
        <v>0.83256714848469138</v>
      </c>
      <c r="O138" s="91">
        <f>MIN(K138,L138,M138,N138)</f>
        <v>0.24591027197751561</v>
      </c>
      <c r="P138" s="91">
        <f t="shared" ref="P138:P201" si="7">MIN(M138,N138)</f>
        <v>0.24591027197751561</v>
      </c>
      <c r="Q138" s="152"/>
      <c r="R138" s="133"/>
      <c r="S138" s="153"/>
      <c r="T138" s="133"/>
      <c r="U138" s="133"/>
      <c r="V138" s="154"/>
      <c r="W138" s="152"/>
      <c r="X138" s="133"/>
      <c r="Y138" s="154"/>
      <c r="Z138" s="154"/>
      <c r="AA138" s="122"/>
      <c r="AB138" s="122"/>
      <c r="AC138" s="122"/>
      <c r="AD138" s="122"/>
      <c r="AE138" s="122"/>
      <c r="AF138" s="122"/>
      <c r="AG138" s="122"/>
      <c r="AH138" s="122"/>
      <c r="AI138" s="122"/>
      <c r="AJ138" s="122"/>
      <c r="AK138" s="122"/>
      <c r="AL138" s="122"/>
      <c r="AM138" s="122"/>
      <c r="AN138" s="122"/>
      <c r="AO138" s="122"/>
    </row>
    <row r="139" spans="2:41">
      <c r="B139" s="9">
        <v>131</v>
      </c>
      <c r="C139" s="49" t="s">
        <v>142</v>
      </c>
      <c r="D139" s="89" t="s">
        <v>583</v>
      </c>
      <c r="E139" s="508" t="s">
        <v>543</v>
      </c>
      <c r="F139" s="91">
        <v>0.53450291329606536</v>
      </c>
      <c r="G139" s="141"/>
      <c r="H139" s="141"/>
      <c r="I139" s="141">
        <v>2.9678817027633999E-3</v>
      </c>
      <c r="J139" s="91">
        <v>0.38307767519600117</v>
      </c>
      <c r="K139" s="91">
        <v>0.51300243343286334</v>
      </c>
      <c r="L139" s="91">
        <v>0.53450291329606536</v>
      </c>
      <c r="M139" s="151">
        <v>1.2693593949603719</v>
      </c>
      <c r="N139" s="91">
        <v>0.96420570381269688</v>
      </c>
      <c r="O139" s="91">
        <f>MIN(K139,L139,M139,N139)</f>
        <v>0.51300243343286334</v>
      </c>
      <c r="P139" s="91">
        <f t="shared" si="7"/>
        <v>0.96420570381269688</v>
      </c>
      <c r="Q139" s="154"/>
      <c r="R139" s="146"/>
      <c r="S139" s="153"/>
      <c r="T139" s="146"/>
      <c r="U139" s="154"/>
      <c r="V139" s="154"/>
      <c r="W139" s="152"/>
      <c r="X139" s="133"/>
      <c r="Y139" s="154"/>
      <c r="Z139" s="154"/>
      <c r="AA139" s="122"/>
      <c r="AB139" s="122"/>
      <c r="AC139" s="122"/>
      <c r="AD139" s="122"/>
      <c r="AE139" s="122"/>
      <c r="AF139" s="122"/>
      <c r="AG139" s="122"/>
      <c r="AH139" s="122"/>
      <c r="AI139" s="122"/>
      <c r="AJ139" s="122"/>
      <c r="AK139" s="122"/>
      <c r="AL139" s="122"/>
      <c r="AM139" s="122"/>
      <c r="AN139" s="122"/>
      <c r="AO139" s="122"/>
    </row>
    <row r="140" spans="2:41">
      <c r="B140" s="9">
        <v>132</v>
      </c>
      <c r="C140" s="136" t="s">
        <v>399</v>
      </c>
      <c r="D140" s="89" t="s">
        <v>581</v>
      </c>
      <c r="E140" s="508" t="s">
        <v>1705</v>
      </c>
      <c r="F140" s="144"/>
      <c r="G140" s="91"/>
      <c r="H140" s="91"/>
      <c r="I140" s="91"/>
      <c r="J140" s="144"/>
      <c r="K140" s="144"/>
      <c r="L140" s="144"/>
      <c r="M140" s="144"/>
      <c r="N140" s="144"/>
      <c r="O140" s="91"/>
      <c r="P140" s="91"/>
      <c r="Q140" s="152"/>
      <c r="R140" s="133"/>
      <c r="S140" s="153"/>
      <c r="T140" s="133"/>
      <c r="U140" s="152"/>
      <c r="V140" s="152"/>
      <c r="W140" s="152"/>
      <c r="X140" s="133"/>
      <c r="Y140" s="152"/>
      <c r="Z140" s="152"/>
      <c r="AA140" s="122"/>
      <c r="AB140" s="122"/>
      <c r="AC140" s="122"/>
      <c r="AD140" s="122"/>
      <c r="AE140" s="122"/>
      <c r="AF140" s="122"/>
      <c r="AG140" s="122"/>
      <c r="AH140" s="122"/>
      <c r="AI140" s="122"/>
      <c r="AJ140" s="122"/>
      <c r="AK140" s="122"/>
      <c r="AL140" s="122"/>
      <c r="AM140" s="122"/>
      <c r="AN140" s="122"/>
      <c r="AO140" s="122"/>
    </row>
    <row r="141" spans="2:41">
      <c r="B141" s="9">
        <v>133</v>
      </c>
      <c r="C141" s="49" t="s">
        <v>140</v>
      </c>
      <c r="D141" s="89" t="s">
        <v>581</v>
      </c>
      <c r="E141" s="508" t="s">
        <v>1817</v>
      </c>
      <c r="F141" s="91">
        <v>0.9794715461012321</v>
      </c>
      <c r="G141" s="159"/>
      <c r="H141" s="159"/>
      <c r="I141" s="159">
        <v>9.8940748185112441E-4</v>
      </c>
      <c r="J141" s="141">
        <v>0.37818212456773515</v>
      </c>
      <c r="K141" s="91">
        <v>0.94420293187602389</v>
      </c>
      <c r="L141" s="91">
        <v>0.9794715461012321</v>
      </c>
      <c r="M141" s="91">
        <v>1.6791323730526455</v>
      </c>
      <c r="N141" s="91">
        <v>1.6431147766946306</v>
      </c>
      <c r="O141" s="91">
        <f>MIN(K141,L141,M141,N141)</f>
        <v>0.94420293187602389</v>
      </c>
      <c r="P141" s="91">
        <f t="shared" si="7"/>
        <v>1.6431147766946306</v>
      </c>
      <c r="Q141" s="154"/>
      <c r="R141" s="146"/>
      <c r="S141" s="153"/>
      <c r="T141" s="146"/>
      <c r="U141" s="154"/>
      <c r="V141" s="154"/>
      <c r="W141" s="152"/>
      <c r="X141" s="133"/>
      <c r="Y141" s="154"/>
      <c r="Z141" s="154"/>
      <c r="AA141" s="122"/>
      <c r="AB141" s="122"/>
      <c r="AC141" s="122"/>
      <c r="AD141" s="122"/>
      <c r="AE141" s="122"/>
      <c r="AF141" s="122"/>
      <c r="AG141" s="122"/>
      <c r="AH141" s="122"/>
      <c r="AI141" s="122"/>
      <c r="AJ141" s="122"/>
      <c r="AK141" s="122"/>
      <c r="AL141" s="122"/>
      <c r="AM141" s="122"/>
      <c r="AN141" s="122"/>
      <c r="AO141" s="122"/>
    </row>
    <row r="142" spans="2:41">
      <c r="B142" s="9">
        <v>134</v>
      </c>
      <c r="C142" s="136" t="s">
        <v>400</v>
      </c>
      <c r="D142" s="89" t="s">
        <v>581</v>
      </c>
      <c r="E142" s="508" t="s">
        <v>1679</v>
      </c>
      <c r="F142" s="144"/>
      <c r="G142" s="91"/>
      <c r="H142" s="91"/>
      <c r="I142" s="91"/>
      <c r="J142" s="144"/>
      <c r="K142" s="144"/>
      <c r="L142" s="144"/>
      <c r="M142" s="144"/>
      <c r="N142" s="144"/>
      <c r="O142" s="91"/>
      <c r="P142" s="91"/>
      <c r="Q142" s="152"/>
      <c r="R142" s="133"/>
      <c r="S142" s="153"/>
      <c r="T142" s="133"/>
      <c r="U142" s="152"/>
      <c r="V142" s="152"/>
      <c r="W142" s="152"/>
      <c r="X142" s="133"/>
      <c r="Y142" s="152"/>
      <c r="Z142" s="152"/>
      <c r="AA142" s="122"/>
      <c r="AB142" s="122"/>
      <c r="AC142" s="122"/>
      <c r="AD142" s="122"/>
      <c r="AE142" s="122"/>
      <c r="AF142" s="122"/>
      <c r="AG142" s="122"/>
      <c r="AH142" s="122"/>
      <c r="AI142" s="122"/>
      <c r="AJ142" s="122"/>
      <c r="AK142" s="122"/>
      <c r="AL142" s="122"/>
      <c r="AM142" s="122"/>
      <c r="AN142" s="122"/>
      <c r="AO142" s="122"/>
    </row>
    <row r="143" spans="2:41" ht="45">
      <c r="B143" s="9">
        <v>135</v>
      </c>
      <c r="C143" s="89" t="s">
        <v>401</v>
      </c>
      <c r="D143" s="89" t="s">
        <v>581</v>
      </c>
      <c r="E143" s="508" t="s">
        <v>1841</v>
      </c>
      <c r="F143" s="144"/>
      <c r="G143" s="91"/>
      <c r="H143" s="91"/>
      <c r="I143" s="91"/>
      <c r="J143" s="144"/>
      <c r="K143" s="144"/>
      <c r="L143" s="144"/>
      <c r="M143" s="144"/>
      <c r="N143" s="144"/>
      <c r="O143" s="91"/>
      <c r="P143" s="91"/>
      <c r="Q143" s="152"/>
      <c r="R143" s="133"/>
      <c r="S143" s="153"/>
      <c r="T143" s="133"/>
      <c r="U143" s="152"/>
      <c r="V143" s="152"/>
      <c r="W143" s="152"/>
      <c r="X143" s="133"/>
      <c r="Y143" s="152"/>
      <c r="Z143" s="152"/>
      <c r="AA143" s="122"/>
      <c r="AB143" s="122"/>
      <c r="AC143" s="122"/>
      <c r="AD143" s="122"/>
      <c r="AE143" s="122"/>
      <c r="AF143" s="122"/>
      <c r="AG143" s="122"/>
      <c r="AH143" s="122"/>
      <c r="AI143" s="122"/>
      <c r="AJ143" s="122"/>
      <c r="AK143" s="122"/>
      <c r="AL143" s="122"/>
      <c r="AM143" s="122"/>
      <c r="AN143" s="122"/>
      <c r="AO143" s="122"/>
    </row>
    <row r="144" spans="2:41">
      <c r="B144" s="9">
        <v>136</v>
      </c>
      <c r="C144" s="49" t="s">
        <v>141</v>
      </c>
      <c r="D144" s="89">
        <v>1</v>
      </c>
      <c r="E144" s="508" t="s">
        <v>1845</v>
      </c>
      <c r="F144" s="151">
        <v>1.5707813609549421</v>
      </c>
      <c r="G144" s="141"/>
      <c r="H144" s="141"/>
      <c r="I144" s="141">
        <v>3.4932520977744193E-3</v>
      </c>
      <c r="J144" s="91">
        <v>0.36847603729885048</v>
      </c>
      <c r="K144" s="91">
        <v>0.96099986030534779</v>
      </c>
      <c r="L144" s="151">
        <v>1.5707813609549421</v>
      </c>
      <c r="M144" s="151">
        <v>1.3820483601097817</v>
      </c>
      <c r="N144" s="151">
        <v>1.8410347333805286</v>
      </c>
      <c r="O144" s="91">
        <f>MIN(K144,L144,M144,N144)</f>
        <v>0.96099986030534779</v>
      </c>
      <c r="P144" s="91">
        <f t="shared" si="7"/>
        <v>1.3820483601097817</v>
      </c>
      <c r="Q144" s="154"/>
      <c r="R144" s="146"/>
      <c r="S144" s="153"/>
      <c r="T144" s="146"/>
      <c r="U144" s="154"/>
      <c r="V144" s="154"/>
      <c r="W144" s="152"/>
      <c r="X144" s="133"/>
      <c r="Y144" s="154"/>
      <c r="Z144" s="154"/>
      <c r="AA144" s="122"/>
      <c r="AB144" s="122"/>
      <c r="AC144" s="122"/>
      <c r="AD144" s="122"/>
      <c r="AE144" s="122"/>
      <c r="AF144" s="122"/>
      <c r="AG144" s="122"/>
      <c r="AH144" s="122"/>
      <c r="AI144" s="122"/>
      <c r="AJ144" s="122"/>
      <c r="AK144" s="122"/>
      <c r="AL144" s="122"/>
      <c r="AM144" s="122"/>
      <c r="AN144" s="122"/>
      <c r="AO144" s="122"/>
    </row>
    <row r="145" spans="2:41">
      <c r="B145" s="9">
        <v>137</v>
      </c>
      <c r="C145" s="89" t="s">
        <v>402</v>
      </c>
      <c r="D145" s="89" t="s">
        <v>581</v>
      </c>
      <c r="E145" s="508" t="s">
        <v>1672</v>
      </c>
      <c r="F145" s="144"/>
      <c r="G145" s="91"/>
      <c r="H145" s="91"/>
      <c r="I145" s="91"/>
      <c r="J145" s="144"/>
      <c r="K145" s="144"/>
      <c r="L145" s="144"/>
      <c r="M145" s="144"/>
      <c r="N145" s="144"/>
      <c r="O145" s="91"/>
      <c r="P145" s="91"/>
      <c r="Q145" s="152"/>
      <c r="R145" s="133"/>
      <c r="S145" s="153"/>
      <c r="T145" s="133"/>
      <c r="U145" s="152"/>
      <c r="V145" s="152"/>
      <c r="W145" s="152"/>
      <c r="X145" s="133"/>
      <c r="Y145" s="152"/>
      <c r="Z145" s="152"/>
      <c r="AA145" s="122"/>
      <c r="AB145" s="122"/>
      <c r="AC145" s="122"/>
      <c r="AD145" s="122"/>
      <c r="AE145" s="122"/>
      <c r="AF145" s="122"/>
      <c r="AG145" s="122"/>
      <c r="AH145" s="122"/>
      <c r="AI145" s="122"/>
      <c r="AJ145" s="122"/>
      <c r="AK145" s="122"/>
      <c r="AL145" s="122"/>
      <c r="AM145" s="122"/>
      <c r="AN145" s="122"/>
      <c r="AO145" s="122"/>
    </row>
    <row r="146" spans="2:41">
      <c r="B146" s="9">
        <v>138</v>
      </c>
      <c r="C146" s="89" t="s">
        <v>403</v>
      </c>
      <c r="D146" s="89" t="s">
        <v>581</v>
      </c>
      <c r="E146" s="508" t="s">
        <v>1868</v>
      </c>
      <c r="F146" s="151"/>
      <c r="G146" s="91"/>
      <c r="H146" s="91"/>
      <c r="I146" s="91"/>
      <c r="J146" s="151"/>
      <c r="K146" s="151"/>
      <c r="L146" s="151"/>
      <c r="M146" s="151"/>
      <c r="N146" s="151"/>
      <c r="O146" s="91"/>
      <c r="P146" s="91"/>
      <c r="Q146" s="154"/>
      <c r="R146" s="133"/>
      <c r="S146" s="153"/>
      <c r="T146" s="133"/>
      <c r="U146" s="154"/>
      <c r="V146" s="154"/>
      <c r="W146" s="154"/>
      <c r="X146" s="133"/>
      <c r="Y146" s="154"/>
      <c r="Z146" s="154"/>
      <c r="AA146" s="122"/>
      <c r="AB146" s="122"/>
      <c r="AC146" s="122"/>
      <c r="AD146" s="122"/>
      <c r="AE146" s="122"/>
      <c r="AF146" s="122"/>
      <c r="AG146" s="122"/>
      <c r="AH146" s="122"/>
      <c r="AI146" s="122"/>
      <c r="AJ146" s="122"/>
      <c r="AK146" s="122"/>
      <c r="AL146" s="122"/>
      <c r="AM146" s="122"/>
      <c r="AN146" s="122"/>
      <c r="AO146" s="122"/>
    </row>
    <row r="147" spans="2:41">
      <c r="B147" s="9">
        <v>139</v>
      </c>
      <c r="C147" s="89" t="s">
        <v>404</v>
      </c>
      <c r="D147" s="89" t="s">
        <v>581</v>
      </c>
      <c r="E147" s="508" t="s">
        <v>1665</v>
      </c>
      <c r="F147" s="144"/>
      <c r="G147" s="91"/>
      <c r="H147" s="91"/>
      <c r="I147" s="91"/>
      <c r="J147" s="144"/>
      <c r="K147" s="144"/>
      <c r="L147" s="144"/>
      <c r="M147" s="144"/>
      <c r="N147" s="144"/>
      <c r="O147" s="91"/>
      <c r="P147" s="91"/>
      <c r="Q147" s="152"/>
      <c r="R147" s="133"/>
      <c r="S147" s="153"/>
      <c r="T147" s="133"/>
      <c r="U147" s="152"/>
      <c r="V147" s="152"/>
      <c r="W147" s="152"/>
      <c r="X147" s="133"/>
      <c r="Y147" s="152"/>
      <c r="Z147" s="152"/>
      <c r="AA147" s="122"/>
      <c r="AB147" s="122"/>
      <c r="AC147" s="122"/>
      <c r="AD147" s="122"/>
      <c r="AE147" s="122"/>
      <c r="AF147" s="122"/>
      <c r="AG147" s="122"/>
      <c r="AH147" s="122"/>
      <c r="AI147" s="122"/>
      <c r="AJ147" s="122"/>
      <c r="AK147" s="122"/>
      <c r="AL147" s="122"/>
      <c r="AM147" s="122"/>
      <c r="AN147" s="122"/>
      <c r="AO147" s="122"/>
    </row>
    <row r="148" spans="2:41">
      <c r="B148" s="9">
        <v>140</v>
      </c>
      <c r="C148" s="89" t="s">
        <v>405</v>
      </c>
      <c r="D148" s="89" t="s">
        <v>581</v>
      </c>
      <c r="E148" s="508" t="s">
        <v>1878</v>
      </c>
      <c r="F148" s="151"/>
      <c r="G148" s="91"/>
      <c r="H148" s="91"/>
      <c r="I148" s="91"/>
      <c r="J148" s="151"/>
      <c r="K148" s="151"/>
      <c r="L148" s="151"/>
      <c r="M148" s="151"/>
      <c r="N148" s="151"/>
      <c r="O148" s="91"/>
      <c r="P148" s="91"/>
      <c r="Q148" s="154"/>
      <c r="R148" s="133"/>
      <c r="S148" s="153"/>
      <c r="T148" s="133"/>
      <c r="U148" s="154"/>
      <c r="V148" s="154"/>
      <c r="W148" s="154"/>
      <c r="X148" s="133"/>
      <c r="Y148" s="154"/>
      <c r="Z148" s="154"/>
      <c r="AA148" s="122"/>
      <c r="AB148" s="122"/>
      <c r="AC148" s="122"/>
      <c r="AD148" s="122"/>
      <c r="AE148" s="122"/>
      <c r="AF148" s="122"/>
      <c r="AG148" s="122"/>
      <c r="AH148" s="122"/>
      <c r="AI148" s="122"/>
      <c r="AJ148" s="122"/>
      <c r="AK148" s="122"/>
      <c r="AL148" s="122"/>
      <c r="AM148" s="122"/>
      <c r="AN148" s="122"/>
      <c r="AO148" s="122"/>
    </row>
    <row r="149" spans="2:41">
      <c r="B149" s="9">
        <v>141</v>
      </c>
      <c r="C149" s="89" t="s">
        <v>406</v>
      </c>
      <c r="D149" s="89" t="s">
        <v>581</v>
      </c>
      <c r="E149" s="508" t="s">
        <v>1901</v>
      </c>
      <c r="F149" s="151"/>
      <c r="G149" s="91"/>
      <c r="H149" s="91"/>
      <c r="I149" s="91"/>
      <c r="J149" s="151"/>
      <c r="K149" s="151"/>
      <c r="L149" s="151"/>
      <c r="M149" s="151"/>
      <c r="N149" s="151"/>
      <c r="O149" s="91"/>
      <c r="P149" s="91"/>
      <c r="Q149" s="154"/>
      <c r="R149" s="133"/>
      <c r="S149" s="153"/>
      <c r="T149" s="133"/>
      <c r="U149" s="154"/>
      <c r="V149" s="154"/>
      <c r="W149" s="154"/>
      <c r="X149" s="133"/>
      <c r="Y149" s="154"/>
      <c r="Z149" s="154"/>
      <c r="AA149" s="122"/>
      <c r="AB149" s="122"/>
      <c r="AC149" s="122"/>
      <c r="AD149" s="122"/>
      <c r="AE149" s="122"/>
      <c r="AF149" s="122"/>
      <c r="AG149" s="122"/>
      <c r="AH149" s="122"/>
      <c r="AI149" s="122"/>
      <c r="AJ149" s="122"/>
      <c r="AK149" s="122"/>
      <c r="AL149" s="122"/>
      <c r="AM149" s="122"/>
      <c r="AN149" s="122"/>
      <c r="AO149" s="122"/>
    </row>
    <row r="150" spans="2:41">
      <c r="B150" s="9">
        <v>142</v>
      </c>
      <c r="C150" s="89" t="s">
        <v>407</v>
      </c>
      <c r="D150" s="89" t="s">
        <v>581</v>
      </c>
      <c r="E150" s="508" t="s">
        <v>1903</v>
      </c>
      <c r="F150" s="151"/>
      <c r="G150" s="91"/>
      <c r="H150" s="91"/>
      <c r="I150" s="91"/>
      <c r="J150" s="151"/>
      <c r="K150" s="151"/>
      <c r="L150" s="151"/>
      <c r="M150" s="151"/>
      <c r="N150" s="151"/>
      <c r="O150" s="91"/>
      <c r="P150" s="91"/>
      <c r="Q150" s="154"/>
      <c r="R150" s="133"/>
      <c r="S150" s="153"/>
      <c r="T150" s="133"/>
      <c r="U150" s="154"/>
      <c r="V150" s="154"/>
      <c r="W150" s="154"/>
      <c r="X150" s="133"/>
      <c r="Y150" s="154"/>
      <c r="Z150" s="154"/>
      <c r="AA150" s="122"/>
      <c r="AB150" s="122"/>
      <c r="AC150" s="122"/>
      <c r="AD150" s="122"/>
      <c r="AE150" s="122"/>
      <c r="AF150" s="122"/>
      <c r="AG150" s="122"/>
      <c r="AH150" s="122"/>
      <c r="AI150" s="122"/>
      <c r="AJ150" s="122"/>
      <c r="AK150" s="122"/>
      <c r="AL150" s="122"/>
      <c r="AM150" s="122"/>
      <c r="AN150" s="122"/>
      <c r="AO150" s="122"/>
    </row>
    <row r="151" spans="2:41">
      <c r="B151" s="9">
        <v>143</v>
      </c>
      <c r="C151" s="49" t="s">
        <v>210</v>
      </c>
      <c r="D151" s="89" t="s">
        <v>581</v>
      </c>
      <c r="E151" s="508" t="s">
        <v>1931</v>
      </c>
      <c r="F151" s="90"/>
      <c r="G151" s="91"/>
      <c r="H151" s="91"/>
      <c r="I151" s="91"/>
      <c r="J151" s="91"/>
      <c r="K151" s="91"/>
      <c r="L151" s="91"/>
      <c r="M151" s="91"/>
      <c r="N151" s="91"/>
      <c r="O151" s="91"/>
      <c r="P151" s="91"/>
      <c r="Q151" s="133"/>
      <c r="R151" s="133"/>
      <c r="S151" s="125"/>
      <c r="T151" s="133"/>
      <c r="U151" s="133"/>
      <c r="V151" s="133"/>
      <c r="W151" s="133"/>
      <c r="X151" s="133"/>
      <c r="Y151" s="133"/>
      <c r="Z151" s="133"/>
      <c r="AA151" s="122"/>
      <c r="AB151" s="122"/>
      <c r="AC151" s="122"/>
      <c r="AD151" s="122"/>
      <c r="AE151" s="122"/>
      <c r="AF151" s="122"/>
      <c r="AG151" s="122"/>
      <c r="AH151" s="122"/>
      <c r="AI151" s="122"/>
      <c r="AJ151" s="122"/>
      <c r="AK151" s="122"/>
      <c r="AL151" s="122"/>
      <c r="AM151" s="122"/>
      <c r="AN151" s="122"/>
      <c r="AO151" s="122"/>
    </row>
    <row r="152" spans="2:41">
      <c r="B152" s="9">
        <v>144</v>
      </c>
      <c r="C152" s="136" t="s">
        <v>397</v>
      </c>
      <c r="D152" s="89" t="s">
        <v>550</v>
      </c>
      <c r="E152" s="455" t="s">
        <v>408</v>
      </c>
      <c r="F152" s="134"/>
      <c r="G152" s="134"/>
      <c r="H152" s="134"/>
      <c r="I152" s="135"/>
      <c r="J152" s="135"/>
      <c r="K152" s="135"/>
      <c r="L152" s="135"/>
      <c r="M152" s="135"/>
      <c r="N152" s="135"/>
      <c r="O152" s="91"/>
      <c r="P152" s="91"/>
      <c r="Q152" s="133"/>
      <c r="R152" s="133"/>
      <c r="S152" s="125"/>
      <c r="T152" s="133"/>
      <c r="U152" s="133"/>
      <c r="V152" s="133"/>
      <c r="W152" s="133"/>
      <c r="X152" s="133"/>
      <c r="Y152" s="133"/>
      <c r="Z152" s="133"/>
      <c r="AA152" s="122"/>
      <c r="AB152" s="122"/>
      <c r="AC152" s="122"/>
      <c r="AD152" s="122"/>
      <c r="AE152" s="122"/>
      <c r="AF152" s="122"/>
      <c r="AG152" s="122"/>
      <c r="AH152" s="122"/>
      <c r="AI152" s="122"/>
      <c r="AJ152" s="122"/>
      <c r="AK152" s="122"/>
      <c r="AL152" s="122"/>
      <c r="AM152" s="122"/>
      <c r="AN152" s="122"/>
      <c r="AO152" s="122"/>
    </row>
    <row r="153" spans="2:41">
      <c r="B153" s="9">
        <v>145</v>
      </c>
      <c r="C153" s="49" t="s">
        <v>409</v>
      </c>
      <c r="D153" s="89" t="s">
        <v>581</v>
      </c>
      <c r="E153" s="508" t="s">
        <v>1932</v>
      </c>
      <c r="F153" s="91"/>
      <c r="G153" s="91"/>
      <c r="H153" s="91"/>
      <c r="I153" s="91"/>
      <c r="J153" s="91"/>
      <c r="K153" s="91"/>
      <c r="L153" s="91"/>
      <c r="M153" s="91"/>
      <c r="N153" s="91"/>
      <c r="O153" s="91"/>
      <c r="P153" s="91"/>
      <c r="Q153" s="133"/>
      <c r="R153" s="133"/>
      <c r="S153" s="125"/>
      <c r="T153" s="133"/>
      <c r="U153" s="133"/>
      <c r="V153" s="133"/>
      <c r="W153" s="133"/>
      <c r="X153" s="133"/>
      <c r="Y153" s="133"/>
      <c r="Z153" s="133"/>
      <c r="AA153" s="122"/>
      <c r="AB153" s="122"/>
      <c r="AC153" s="122"/>
      <c r="AD153" s="122"/>
      <c r="AE153" s="122"/>
      <c r="AF153" s="122"/>
      <c r="AG153" s="122"/>
      <c r="AH153" s="122"/>
      <c r="AI153" s="122"/>
      <c r="AJ153" s="122"/>
      <c r="AK153" s="122"/>
      <c r="AL153" s="122"/>
      <c r="AM153" s="122"/>
      <c r="AN153" s="122"/>
      <c r="AO153" s="122"/>
    </row>
    <row r="154" spans="2:41">
      <c r="B154" s="9">
        <v>146</v>
      </c>
      <c r="C154" s="9" t="s">
        <v>410</v>
      </c>
      <c r="D154" s="89" t="s">
        <v>581</v>
      </c>
      <c r="E154" s="508" t="s">
        <v>1804</v>
      </c>
      <c r="F154" s="135"/>
      <c r="G154" s="135"/>
      <c r="H154" s="135"/>
      <c r="I154" s="135"/>
      <c r="J154" s="135"/>
      <c r="K154" s="135"/>
      <c r="L154" s="135"/>
      <c r="M154" s="135"/>
      <c r="N154" s="135"/>
      <c r="O154" s="91"/>
      <c r="P154" s="91"/>
      <c r="Q154" s="122"/>
      <c r="R154" s="122"/>
      <c r="S154" s="122"/>
      <c r="T154" s="122"/>
      <c r="U154" s="122"/>
      <c r="V154" s="122"/>
      <c r="W154" s="122"/>
      <c r="X154" s="122"/>
      <c r="Y154" s="122"/>
      <c r="Z154" s="122"/>
      <c r="AA154" s="122"/>
      <c r="AB154" s="122"/>
      <c r="AC154" s="122"/>
      <c r="AD154" s="122"/>
      <c r="AE154" s="122"/>
      <c r="AF154" s="122"/>
      <c r="AG154" s="122"/>
      <c r="AH154" s="122"/>
      <c r="AI154" s="122"/>
      <c r="AJ154" s="122"/>
      <c r="AK154" s="122"/>
      <c r="AL154" s="122"/>
      <c r="AM154" s="122"/>
      <c r="AN154" s="122"/>
      <c r="AO154" s="122"/>
    </row>
    <row r="155" spans="2:41">
      <c r="B155" s="9">
        <v>147</v>
      </c>
      <c r="C155" s="9" t="s">
        <v>411</v>
      </c>
      <c r="D155" s="89" t="s">
        <v>581</v>
      </c>
      <c r="E155" s="508" t="s">
        <v>1797</v>
      </c>
      <c r="F155" s="135"/>
      <c r="G155" s="135"/>
      <c r="H155" s="135"/>
      <c r="I155" s="135"/>
      <c r="J155" s="135"/>
      <c r="K155" s="135"/>
      <c r="L155" s="135"/>
      <c r="M155" s="135"/>
      <c r="N155" s="135"/>
      <c r="O155" s="91"/>
      <c r="P155" s="91"/>
      <c r="Q155" s="122"/>
      <c r="R155" s="122"/>
      <c r="S155" s="122"/>
      <c r="T155" s="122"/>
      <c r="U155" s="122"/>
      <c r="V155" s="122"/>
      <c r="W155" s="122"/>
      <c r="X155" s="122"/>
      <c r="Y155" s="122"/>
      <c r="Z155" s="122"/>
      <c r="AA155" s="122"/>
      <c r="AB155" s="122"/>
      <c r="AC155" s="122"/>
      <c r="AD155" s="122"/>
      <c r="AE155" s="122"/>
      <c r="AF155" s="122"/>
      <c r="AG155" s="122"/>
      <c r="AH155" s="122"/>
      <c r="AI155" s="122"/>
      <c r="AJ155" s="122"/>
      <c r="AK155" s="122"/>
      <c r="AL155" s="122"/>
      <c r="AM155" s="122"/>
      <c r="AN155" s="122"/>
      <c r="AO155" s="122"/>
    </row>
    <row r="156" spans="2:41">
      <c r="B156" s="9">
        <v>148</v>
      </c>
      <c r="C156" s="9" t="s">
        <v>412</v>
      </c>
      <c r="D156" s="89" t="s">
        <v>581</v>
      </c>
      <c r="E156" s="508" t="s">
        <v>1749</v>
      </c>
      <c r="F156" s="135"/>
      <c r="G156" s="135"/>
      <c r="H156" s="135"/>
      <c r="I156" s="135"/>
      <c r="J156" s="135"/>
      <c r="K156" s="135"/>
      <c r="L156" s="135"/>
      <c r="M156" s="135"/>
      <c r="N156" s="135"/>
      <c r="O156" s="91"/>
      <c r="P156" s="91"/>
      <c r="Q156" s="122"/>
      <c r="R156" s="122"/>
      <c r="S156" s="122"/>
      <c r="T156" s="122"/>
      <c r="U156" s="122"/>
      <c r="V156" s="122"/>
      <c r="W156" s="122"/>
      <c r="X156" s="122"/>
      <c r="Y156" s="122"/>
      <c r="Z156" s="122"/>
      <c r="AA156" s="122"/>
      <c r="AB156" s="122"/>
      <c r="AC156" s="122"/>
      <c r="AD156" s="122"/>
      <c r="AE156" s="122"/>
      <c r="AF156" s="122"/>
      <c r="AG156" s="122"/>
      <c r="AH156" s="122"/>
      <c r="AI156" s="122"/>
      <c r="AJ156" s="122"/>
      <c r="AK156" s="122"/>
      <c r="AL156" s="122"/>
      <c r="AM156" s="122"/>
      <c r="AN156" s="122"/>
      <c r="AO156" s="122"/>
    </row>
    <row r="157" spans="2:41">
      <c r="B157" s="9">
        <v>149</v>
      </c>
      <c r="C157" s="9" t="s">
        <v>413</v>
      </c>
      <c r="D157" s="89" t="s">
        <v>581</v>
      </c>
      <c r="E157" s="508" t="s">
        <v>1762</v>
      </c>
      <c r="F157" s="135"/>
      <c r="G157" s="135"/>
      <c r="H157" s="135"/>
      <c r="I157" s="135"/>
      <c r="J157" s="135"/>
      <c r="K157" s="135"/>
      <c r="L157" s="135"/>
      <c r="M157" s="135"/>
      <c r="N157" s="135"/>
      <c r="O157" s="91"/>
      <c r="P157" s="91"/>
      <c r="Q157" s="122"/>
      <c r="R157" s="122"/>
      <c r="S157" s="122"/>
      <c r="T157" s="122"/>
      <c r="U157" s="122"/>
      <c r="V157" s="122"/>
      <c r="W157" s="122"/>
      <c r="X157" s="122"/>
      <c r="Y157" s="122"/>
      <c r="Z157" s="122"/>
      <c r="AA157" s="122"/>
      <c r="AB157" s="122"/>
      <c r="AC157" s="122"/>
      <c r="AD157" s="122"/>
      <c r="AE157" s="122"/>
      <c r="AF157" s="122"/>
      <c r="AG157" s="122"/>
      <c r="AH157" s="122"/>
      <c r="AI157" s="122"/>
      <c r="AJ157" s="122"/>
      <c r="AK157" s="122"/>
      <c r="AL157" s="122"/>
      <c r="AM157" s="122"/>
      <c r="AN157" s="122"/>
      <c r="AO157" s="122"/>
    </row>
    <row r="158" spans="2:41">
      <c r="B158" s="9">
        <v>150</v>
      </c>
      <c r="C158" s="9" t="s">
        <v>414</v>
      </c>
      <c r="D158" s="89" t="s">
        <v>581</v>
      </c>
      <c r="E158" s="508" t="s">
        <v>1847</v>
      </c>
      <c r="F158" s="135"/>
      <c r="G158" s="135"/>
      <c r="H158" s="135"/>
      <c r="I158" s="135"/>
      <c r="J158" s="135"/>
      <c r="K158" s="135"/>
      <c r="L158" s="135"/>
      <c r="M158" s="135"/>
      <c r="N158" s="135"/>
      <c r="O158" s="91"/>
      <c r="P158" s="91"/>
      <c r="Q158" s="122"/>
      <c r="R158" s="122"/>
      <c r="S158" s="122"/>
      <c r="T158" s="122"/>
      <c r="U158" s="122"/>
      <c r="V158" s="122"/>
      <c r="W158" s="122"/>
      <c r="X158" s="122"/>
      <c r="Y158" s="122"/>
      <c r="Z158" s="122"/>
      <c r="AA158" s="122"/>
      <c r="AB158" s="122"/>
      <c r="AC158" s="122"/>
      <c r="AD158" s="122"/>
      <c r="AE158" s="122"/>
      <c r="AF158" s="122"/>
      <c r="AG158" s="122"/>
      <c r="AH158" s="122"/>
      <c r="AI158" s="122"/>
      <c r="AJ158" s="122"/>
      <c r="AK158" s="122"/>
      <c r="AL158" s="122"/>
      <c r="AM158" s="122"/>
      <c r="AN158" s="122"/>
      <c r="AO158" s="122"/>
    </row>
    <row r="159" spans="2:41">
      <c r="B159" s="9">
        <v>151</v>
      </c>
      <c r="C159" s="9" t="s">
        <v>174</v>
      </c>
      <c r="D159" s="89" t="s">
        <v>581</v>
      </c>
      <c r="E159" s="508" t="s">
        <v>173</v>
      </c>
      <c r="F159" s="91">
        <v>160.40969201659274</v>
      </c>
      <c r="G159" s="145"/>
      <c r="H159" s="145"/>
      <c r="I159" s="145">
        <v>4.0566109328773393E-2</v>
      </c>
      <c r="J159" s="91">
        <v>115.13832241711503</v>
      </c>
      <c r="K159" s="91">
        <v>160.40969201659274</v>
      </c>
      <c r="L159" s="91">
        <v>160.40969201659274</v>
      </c>
      <c r="M159" s="91">
        <v>400.36842392616728</v>
      </c>
      <c r="N159" s="91">
        <v>296.70650211832697</v>
      </c>
      <c r="O159" s="91">
        <f>MIN(K159,L159,M159,N159)</f>
        <v>160.40969201659274</v>
      </c>
      <c r="P159" s="91">
        <f t="shared" si="7"/>
        <v>296.70650211832697</v>
      </c>
      <c r="Q159" s="122"/>
      <c r="R159" s="122"/>
      <c r="S159" s="122"/>
      <c r="T159" s="122"/>
      <c r="U159" s="122"/>
      <c r="V159" s="122"/>
      <c r="W159" s="122"/>
      <c r="X159" s="122"/>
      <c r="Y159" s="122"/>
      <c r="Z159" s="122"/>
      <c r="AA159" s="122"/>
      <c r="AB159" s="122"/>
      <c r="AC159" s="122"/>
      <c r="AD159" s="122"/>
      <c r="AE159" s="122"/>
      <c r="AF159" s="122"/>
      <c r="AG159" s="122"/>
      <c r="AH159" s="122"/>
      <c r="AI159" s="122"/>
      <c r="AJ159" s="122"/>
      <c r="AK159" s="122"/>
      <c r="AL159" s="122"/>
      <c r="AM159" s="122"/>
      <c r="AN159" s="122"/>
      <c r="AO159" s="122"/>
    </row>
    <row r="160" spans="2:41">
      <c r="B160" s="9">
        <v>152</v>
      </c>
      <c r="C160" s="9" t="s">
        <v>150</v>
      </c>
      <c r="D160" s="89">
        <v>3</v>
      </c>
      <c r="E160" s="508" t="s">
        <v>1737</v>
      </c>
      <c r="F160" s="91">
        <v>4.1090305061615764</v>
      </c>
      <c r="G160" s="145"/>
      <c r="H160" s="145"/>
      <c r="I160" s="145">
        <v>1.5190036499368875E-2</v>
      </c>
      <c r="J160" s="91">
        <v>3.6623016108145325</v>
      </c>
      <c r="K160" s="91">
        <v>3.5385245830025518</v>
      </c>
      <c r="L160" s="91">
        <v>4.1090305061615764</v>
      </c>
      <c r="M160" s="91">
        <v>6.7982254334558609</v>
      </c>
      <c r="N160" s="91">
        <v>6.6365259829843328</v>
      </c>
      <c r="O160" s="91">
        <f>MIN(K160,L160,M160,N160)</f>
        <v>3.5385245830025518</v>
      </c>
      <c r="P160" s="91">
        <f t="shared" si="7"/>
        <v>6.6365259829843328</v>
      </c>
      <c r="Q160" s="122"/>
      <c r="R160" s="122"/>
      <c r="S160" s="122"/>
      <c r="T160" s="122"/>
      <c r="U160" s="122"/>
      <c r="V160" s="122"/>
      <c r="W160" s="122"/>
      <c r="X160" s="122"/>
      <c r="Y160" s="122"/>
      <c r="Z160" s="122"/>
      <c r="AA160" s="122"/>
      <c r="AB160" s="122"/>
      <c r="AC160" s="122"/>
      <c r="AD160" s="122"/>
      <c r="AE160" s="122"/>
      <c r="AF160" s="122"/>
      <c r="AG160" s="122"/>
      <c r="AH160" s="122"/>
      <c r="AI160" s="122"/>
      <c r="AJ160" s="122"/>
      <c r="AK160" s="122"/>
      <c r="AL160" s="122"/>
      <c r="AM160" s="122"/>
      <c r="AN160" s="122"/>
      <c r="AO160" s="122"/>
    </row>
    <row r="161" spans="2:41">
      <c r="B161" s="9">
        <v>153</v>
      </c>
      <c r="C161" s="9" t="s">
        <v>178</v>
      </c>
      <c r="D161" s="89" t="s">
        <v>581</v>
      </c>
      <c r="E161" s="508" t="s">
        <v>1741</v>
      </c>
      <c r="F161" s="91">
        <v>7005.9073811037451</v>
      </c>
      <c r="G161" s="91"/>
      <c r="H161" s="91"/>
      <c r="I161" s="91">
        <v>2.4266237141888647</v>
      </c>
      <c r="J161" s="91">
        <v>4801.106174862688</v>
      </c>
      <c r="K161" s="91">
        <v>7005.9073811037451</v>
      </c>
      <c r="L161" s="91">
        <v>7005.9073811037451</v>
      </c>
      <c r="M161" s="91">
        <v>43239.78978402607</v>
      </c>
      <c r="N161" s="91">
        <v>32044.30222877931</v>
      </c>
      <c r="O161" s="91">
        <f>MIN(K161,L161,M161,N161)</f>
        <v>7005.9073811037451</v>
      </c>
      <c r="P161" s="91">
        <f t="shared" si="7"/>
        <v>32044.30222877931</v>
      </c>
      <c r="Q161" s="122"/>
      <c r="R161" s="122"/>
      <c r="S161" s="122"/>
      <c r="T161" s="122"/>
      <c r="U161" s="122"/>
      <c r="V161" s="122"/>
      <c r="W161" s="122"/>
      <c r="X161" s="122"/>
      <c r="Y161" s="122"/>
      <c r="Z161" s="122"/>
      <c r="AA161" s="122"/>
      <c r="AB161" s="122"/>
      <c r="AC161" s="122"/>
      <c r="AD161" s="122"/>
      <c r="AE161" s="122"/>
      <c r="AF161" s="122"/>
      <c r="AG161" s="122"/>
      <c r="AH161" s="122"/>
      <c r="AI161" s="122"/>
      <c r="AJ161" s="122"/>
      <c r="AK161" s="122"/>
      <c r="AL161" s="122"/>
      <c r="AM161" s="122"/>
      <c r="AN161" s="122"/>
      <c r="AO161" s="122"/>
    </row>
    <row r="162" spans="2:41">
      <c r="B162" s="9">
        <v>154</v>
      </c>
      <c r="C162" s="9" t="s">
        <v>151</v>
      </c>
      <c r="D162" s="89" t="s">
        <v>581</v>
      </c>
      <c r="E162" s="508" t="s">
        <v>1751</v>
      </c>
      <c r="F162" s="91"/>
      <c r="G162" s="91"/>
      <c r="H162" s="91"/>
      <c r="I162" s="91"/>
      <c r="J162" s="91"/>
      <c r="K162" s="91"/>
      <c r="L162" s="91"/>
      <c r="M162" s="91"/>
      <c r="N162" s="91"/>
      <c r="O162" s="91"/>
      <c r="P162" s="91"/>
      <c r="Q162" s="122"/>
      <c r="R162" s="122"/>
      <c r="S162" s="122"/>
      <c r="T162" s="122"/>
      <c r="U162" s="122"/>
      <c r="V162" s="122"/>
      <c r="W162" s="122"/>
      <c r="X162" s="122"/>
      <c r="Y162" s="122"/>
      <c r="Z162" s="122"/>
      <c r="AA162" s="122"/>
      <c r="AB162" s="122"/>
      <c r="AC162" s="122"/>
      <c r="AD162" s="122"/>
      <c r="AE162" s="122"/>
      <c r="AF162" s="122"/>
      <c r="AG162" s="122"/>
      <c r="AH162" s="122"/>
      <c r="AI162" s="122"/>
      <c r="AJ162" s="122"/>
      <c r="AK162" s="122"/>
      <c r="AL162" s="122"/>
      <c r="AM162" s="122"/>
      <c r="AN162" s="122"/>
      <c r="AO162" s="122"/>
    </row>
    <row r="163" spans="2:41">
      <c r="B163" s="9">
        <v>155</v>
      </c>
      <c r="C163" s="9" t="s">
        <v>415</v>
      </c>
      <c r="D163" s="89" t="s">
        <v>581</v>
      </c>
      <c r="E163" s="508" t="s">
        <v>1760</v>
      </c>
      <c r="F163" s="91">
        <v>4670.6049207358301</v>
      </c>
      <c r="G163" s="91"/>
      <c r="H163" s="91"/>
      <c r="I163" s="91">
        <v>12.164790134978812</v>
      </c>
      <c r="J163" s="91">
        <v>3200.737449908459</v>
      </c>
      <c r="K163" s="91">
        <v>4670.6049207358301</v>
      </c>
      <c r="L163" s="91">
        <v>4670.6049207358301</v>
      </c>
      <c r="M163" s="91">
        <v>28826.526522684046</v>
      </c>
      <c r="N163" s="91">
        <v>21362.868152519542</v>
      </c>
      <c r="O163" s="91">
        <f>MIN(K163,L163,M163,N163)</f>
        <v>4670.6049207358301</v>
      </c>
      <c r="P163" s="91">
        <f t="shared" si="7"/>
        <v>21362.868152519542</v>
      </c>
      <c r="Q163" s="122"/>
      <c r="R163" s="122"/>
      <c r="S163" s="122"/>
      <c r="T163" s="122"/>
      <c r="U163" s="122"/>
      <c r="V163" s="122"/>
      <c r="W163" s="122"/>
      <c r="X163" s="122"/>
      <c r="Y163" s="122"/>
      <c r="Z163" s="122"/>
      <c r="AA163" s="122"/>
      <c r="AB163" s="122"/>
      <c r="AC163" s="122"/>
      <c r="AD163" s="122"/>
      <c r="AE163" s="122"/>
      <c r="AF163" s="122"/>
      <c r="AG163" s="122"/>
      <c r="AH163" s="122"/>
      <c r="AI163" s="122"/>
      <c r="AJ163" s="122"/>
      <c r="AK163" s="122"/>
      <c r="AL163" s="122"/>
      <c r="AM163" s="122"/>
      <c r="AN163" s="122"/>
      <c r="AO163" s="122"/>
    </row>
    <row r="164" spans="2:41">
      <c r="B164" s="9">
        <v>156</v>
      </c>
      <c r="C164" s="9" t="s">
        <v>152</v>
      </c>
      <c r="D164" s="89" t="s">
        <v>581</v>
      </c>
      <c r="E164" s="508" t="s">
        <v>1761</v>
      </c>
      <c r="F164" s="91"/>
      <c r="G164" s="91"/>
      <c r="H164" s="91"/>
      <c r="I164" s="91"/>
      <c r="J164" s="91"/>
      <c r="K164" s="91"/>
      <c r="L164" s="91"/>
      <c r="M164" s="91"/>
      <c r="N164" s="91"/>
      <c r="O164" s="91"/>
      <c r="P164" s="91"/>
      <c r="Q164" s="122"/>
      <c r="R164" s="122"/>
      <c r="S164" s="122"/>
      <c r="T164" s="122"/>
      <c r="U164" s="122"/>
      <c r="V164" s="122"/>
      <c r="W164" s="122"/>
      <c r="X164" s="122"/>
      <c r="Y164" s="122"/>
      <c r="Z164" s="122"/>
      <c r="AA164" s="122"/>
      <c r="AB164" s="122"/>
      <c r="AC164" s="122"/>
      <c r="AD164" s="122"/>
      <c r="AE164" s="122"/>
      <c r="AF164" s="122"/>
      <c r="AG164" s="122"/>
      <c r="AH164" s="122"/>
      <c r="AI164" s="122"/>
      <c r="AJ164" s="122"/>
      <c r="AK164" s="122"/>
      <c r="AL164" s="122"/>
      <c r="AM164" s="122"/>
      <c r="AN164" s="122"/>
      <c r="AO164" s="122"/>
    </row>
    <row r="165" spans="2:41">
      <c r="B165" s="9">
        <v>157</v>
      </c>
      <c r="C165" s="9" t="s">
        <v>153</v>
      </c>
      <c r="D165" s="89" t="s">
        <v>581</v>
      </c>
      <c r="E165" s="508" t="s">
        <v>1763</v>
      </c>
      <c r="F165" s="91">
        <v>23353.024603679154</v>
      </c>
      <c r="G165" s="91"/>
      <c r="H165" s="91"/>
      <c r="I165" s="91">
        <v>8.068464855554252</v>
      </c>
      <c r="J165" s="91">
        <v>16003.687249542296</v>
      </c>
      <c r="K165" s="91">
        <v>23353.024603679154</v>
      </c>
      <c r="L165" s="91">
        <v>23353.024603679154</v>
      </c>
      <c r="M165" s="91">
        <v>144132.63261342025</v>
      </c>
      <c r="N165" s="91">
        <v>106814.3407625977</v>
      </c>
      <c r="O165" s="91">
        <f>MIN(K165,L165,M165,N165)</f>
        <v>23353.024603679154</v>
      </c>
      <c r="P165" s="91">
        <f t="shared" si="7"/>
        <v>106814.3407625977</v>
      </c>
      <c r="Q165" s="122"/>
      <c r="R165" s="122"/>
      <c r="S165" s="122"/>
      <c r="T165" s="122"/>
      <c r="U165" s="122"/>
      <c r="V165" s="122"/>
      <c r="W165" s="122"/>
      <c r="X165" s="122"/>
      <c r="Y165" s="122"/>
      <c r="Z165" s="122"/>
      <c r="AA165" s="122"/>
      <c r="AB165" s="122"/>
      <c r="AC165" s="122"/>
      <c r="AD165" s="122"/>
      <c r="AE165" s="122"/>
      <c r="AF165" s="122"/>
      <c r="AG165" s="122"/>
      <c r="AH165" s="122"/>
      <c r="AI165" s="122"/>
      <c r="AJ165" s="122"/>
      <c r="AK165" s="122"/>
      <c r="AL165" s="122"/>
      <c r="AM165" s="122"/>
      <c r="AN165" s="122"/>
      <c r="AO165" s="122"/>
    </row>
    <row r="166" spans="2:41">
      <c r="B166" s="9">
        <v>158</v>
      </c>
      <c r="C166" s="9" t="s">
        <v>416</v>
      </c>
      <c r="D166" s="89">
        <v>3</v>
      </c>
      <c r="E166" s="508" t="s">
        <v>1768</v>
      </c>
      <c r="F166" s="91">
        <v>11676.512301839577</v>
      </c>
      <c r="G166" s="91"/>
      <c r="H166" s="91"/>
      <c r="I166" s="91">
        <v>5.652143902650403</v>
      </c>
      <c r="J166" s="91">
        <v>8001.8436247711479</v>
      </c>
      <c r="K166" s="91">
        <v>11676.512301839577</v>
      </c>
      <c r="L166" s="91">
        <v>11676.512301839577</v>
      </c>
      <c r="M166" s="91">
        <v>72066.316306710127</v>
      </c>
      <c r="N166" s="91">
        <v>53407.170381298849</v>
      </c>
      <c r="O166" s="91">
        <f>MIN(K166,L166,M166,N166)</f>
        <v>11676.512301839577</v>
      </c>
      <c r="P166" s="91">
        <f t="shared" si="7"/>
        <v>53407.170381298849</v>
      </c>
      <c r="Q166" s="122"/>
      <c r="R166" s="122"/>
      <c r="S166" s="122"/>
      <c r="T166" s="122"/>
      <c r="U166" s="122"/>
      <c r="V166" s="122"/>
      <c r="W166" s="122"/>
      <c r="X166" s="122"/>
      <c r="Y166" s="122"/>
      <c r="Z166" s="122"/>
      <c r="AA166" s="122"/>
      <c r="AB166" s="122"/>
      <c r="AC166" s="122"/>
      <c r="AD166" s="122"/>
      <c r="AE166" s="122"/>
      <c r="AF166" s="122"/>
      <c r="AG166" s="122"/>
      <c r="AH166" s="122"/>
      <c r="AI166" s="122"/>
      <c r="AJ166" s="122"/>
      <c r="AK166" s="122"/>
      <c r="AL166" s="122"/>
      <c r="AM166" s="122"/>
      <c r="AN166" s="122"/>
      <c r="AO166" s="122"/>
    </row>
    <row r="167" spans="2:41">
      <c r="B167" s="9">
        <v>159</v>
      </c>
      <c r="C167" s="9" t="s">
        <v>172</v>
      </c>
      <c r="D167" s="89" t="s">
        <v>581</v>
      </c>
      <c r="E167" s="508" t="s">
        <v>1769</v>
      </c>
      <c r="F167" s="91">
        <v>2638.8917802157439</v>
      </c>
      <c r="G167" s="91"/>
      <c r="H167" s="91"/>
      <c r="I167" s="91">
        <v>2.3416193199819029</v>
      </c>
      <c r="J167" s="91">
        <v>1808.4166591982791</v>
      </c>
      <c r="K167" s="91">
        <v>2638.8917802157439</v>
      </c>
      <c r="L167" s="91">
        <v>2638.8917802157439</v>
      </c>
      <c r="M167" s="91">
        <v>16286.987485316486</v>
      </c>
      <c r="N167" s="91">
        <v>12070.02050617354</v>
      </c>
      <c r="O167" s="91">
        <f>MIN(K167,L167,M167,N167)</f>
        <v>2638.8917802157439</v>
      </c>
      <c r="P167" s="91">
        <f t="shared" si="7"/>
        <v>12070.02050617354</v>
      </c>
      <c r="Q167" s="122"/>
      <c r="R167" s="122"/>
      <c r="S167" s="122"/>
      <c r="T167" s="122"/>
      <c r="U167" s="122"/>
      <c r="V167" s="122"/>
      <c r="W167" s="122"/>
      <c r="X167" s="122"/>
      <c r="Y167" s="122"/>
      <c r="Z167" s="122"/>
      <c r="AA167" s="122"/>
      <c r="AB167" s="122"/>
      <c r="AC167" s="122"/>
      <c r="AD167" s="122"/>
      <c r="AE167" s="122"/>
      <c r="AF167" s="122"/>
      <c r="AG167" s="122"/>
      <c r="AH167" s="122"/>
      <c r="AI167" s="122"/>
      <c r="AJ167" s="122"/>
      <c r="AK167" s="122"/>
      <c r="AL167" s="122"/>
      <c r="AM167" s="122"/>
      <c r="AN167" s="122"/>
      <c r="AO167" s="122"/>
    </row>
    <row r="168" spans="2:41">
      <c r="B168" s="9">
        <v>160</v>
      </c>
      <c r="C168" s="9" t="s">
        <v>154</v>
      </c>
      <c r="D168" s="89" t="s">
        <v>581</v>
      </c>
      <c r="E168" s="508" t="s">
        <v>1778</v>
      </c>
      <c r="F168" s="91">
        <v>46.238988715284719</v>
      </c>
      <c r="G168" s="145"/>
      <c r="H168" s="145"/>
      <c r="I168" s="145">
        <v>1.5651987792184675E-2</v>
      </c>
      <c r="J168" s="91">
        <v>31.687300754093737</v>
      </c>
      <c r="K168" s="91">
        <v>46.238988715284719</v>
      </c>
      <c r="L168" s="91">
        <v>46.238988715284719</v>
      </c>
      <c r="M168" s="91">
        <v>285.38261257457208</v>
      </c>
      <c r="N168" s="91">
        <v>211.49239470994343</v>
      </c>
      <c r="O168" s="91">
        <f>MIN(K168,L168,M168,N168)</f>
        <v>46.238988715284719</v>
      </c>
      <c r="P168" s="91">
        <f t="shared" si="7"/>
        <v>211.49239470994343</v>
      </c>
      <c r="Q168" s="122"/>
      <c r="R168" s="122"/>
      <c r="S168" s="122"/>
      <c r="T168" s="122"/>
      <c r="U168" s="122"/>
      <c r="V168" s="122"/>
      <c r="W168" s="122"/>
      <c r="X168" s="122"/>
      <c r="Y168" s="122"/>
      <c r="Z168" s="122"/>
      <c r="AA168" s="122"/>
      <c r="AB168" s="122"/>
      <c r="AC168" s="122"/>
      <c r="AD168" s="122"/>
      <c r="AE168" s="122"/>
      <c r="AF168" s="122"/>
      <c r="AG168" s="122"/>
      <c r="AH168" s="122"/>
      <c r="AI168" s="122"/>
      <c r="AJ168" s="122"/>
      <c r="AK168" s="122"/>
      <c r="AL168" s="122"/>
      <c r="AM168" s="122"/>
      <c r="AN168" s="122"/>
      <c r="AO168" s="122"/>
    </row>
    <row r="169" spans="2:41">
      <c r="B169" s="9">
        <v>161</v>
      </c>
      <c r="C169" s="9" t="s">
        <v>417</v>
      </c>
      <c r="D169" s="89" t="s">
        <v>581</v>
      </c>
      <c r="E169" s="508" t="s">
        <v>1783</v>
      </c>
      <c r="F169" s="166"/>
      <c r="G169" s="91"/>
      <c r="H169" s="91"/>
      <c r="I169" s="91"/>
      <c r="J169" s="91"/>
      <c r="K169" s="91"/>
      <c r="L169" s="91"/>
      <c r="M169" s="91"/>
      <c r="N169" s="91"/>
      <c r="O169" s="91"/>
      <c r="P169" s="91"/>
      <c r="Q169" s="122"/>
      <c r="R169" s="122"/>
      <c r="S169" s="122"/>
      <c r="T169" s="122"/>
      <c r="U169" s="122"/>
      <c r="V169" s="122"/>
      <c r="W169" s="122"/>
      <c r="X169" s="122"/>
      <c r="Y169" s="122"/>
      <c r="Z169" s="122"/>
      <c r="AA169" s="122"/>
      <c r="AB169" s="122"/>
      <c r="AC169" s="122"/>
      <c r="AD169" s="122"/>
      <c r="AE169" s="122"/>
      <c r="AF169" s="122"/>
      <c r="AG169" s="122"/>
      <c r="AH169" s="122"/>
      <c r="AI169" s="122"/>
      <c r="AJ169" s="122"/>
      <c r="AK169" s="122"/>
      <c r="AL169" s="122"/>
      <c r="AM169" s="122"/>
      <c r="AN169" s="122"/>
      <c r="AO169" s="122"/>
    </row>
    <row r="170" spans="2:41">
      <c r="B170" s="9">
        <v>162</v>
      </c>
      <c r="C170" s="9" t="s">
        <v>418</v>
      </c>
      <c r="D170" s="89" t="s">
        <v>581</v>
      </c>
      <c r="E170" s="508" t="s">
        <v>1784</v>
      </c>
      <c r="F170" s="91"/>
      <c r="G170" s="91"/>
      <c r="H170" s="91"/>
      <c r="I170" s="91"/>
      <c r="J170" s="91"/>
      <c r="K170" s="91"/>
      <c r="L170" s="91"/>
      <c r="M170" s="91"/>
      <c r="N170" s="91"/>
      <c r="O170" s="91"/>
      <c r="P170" s="91"/>
      <c r="Q170" s="122"/>
      <c r="R170" s="122"/>
      <c r="S170" s="122"/>
      <c r="T170" s="122"/>
      <c r="U170" s="122"/>
      <c r="V170" s="122"/>
      <c r="W170" s="122"/>
      <c r="X170" s="122"/>
      <c r="Y170" s="122"/>
      <c r="Z170" s="122"/>
      <c r="AA170" s="122"/>
      <c r="AB170" s="122"/>
      <c r="AC170" s="122"/>
      <c r="AD170" s="122"/>
      <c r="AE170" s="122"/>
      <c r="AF170" s="122"/>
      <c r="AG170" s="122"/>
      <c r="AH170" s="122"/>
      <c r="AI170" s="122"/>
      <c r="AJ170" s="122"/>
      <c r="AK170" s="122"/>
      <c r="AL170" s="122"/>
      <c r="AM170" s="122"/>
      <c r="AN170" s="122"/>
      <c r="AO170" s="122"/>
    </row>
    <row r="171" spans="2:41">
      <c r="B171" s="9">
        <v>163</v>
      </c>
      <c r="C171" s="9" t="s">
        <v>419</v>
      </c>
      <c r="D171" s="89" t="s">
        <v>581</v>
      </c>
      <c r="E171" s="508" t="s">
        <v>1782</v>
      </c>
      <c r="F171" s="91"/>
      <c r="G171" s="91"/>
      <c r="H171" s="91"/>
      <c r="I171" s="91"/>
      <c r="J171" s="91"/>
      <c r="K171" s="91"/>
      <c r="L171" s="91"/>
      <c r="M171" s="91"/>
      <c r="N171" s="91"/>
      <c r="O171" s="91"/>
      <c r="P171" s="91"/>
      <c r="Q171" s="122"/>
      <c r="R171" s="122"/>
      <c r="S171" s="122"/>
      <c r="T171" s="122"/>
      <c r="U171" s="122"/>
      <c r="V171" s="122"/>
      <c r="W171" s="122"/>
      <c r="X171" s="122"/>
      <c r="Y171" s="122"/>
      <c r="Z171" s="122"/>
      <c r="AA171" s="122"/>
      <c r="AB171" s="122"/>
      <c r="AC171" s="122"/>
      <c r="AD171" s="122"/>
      <c r="AE171" s="122"/>
      <c r="AF171" s="122"/>
      <c r="AG171" s="122"/>
      <c r="AH171" s="122"/>
      <c r="AI171" s="122"/>
      <c r="AJ171" s="122"/>
      <c r="AK171" s="122"/>
      <c r="AL171" s="122"/>
      <c r="AM171" s="122"/>
      <c r="AN171" s="122"/>
      <c r="AO171" s="122"/>
    </row>
    <row r="172" spans="2:41">
      <c r="B172" s="9">
        <v>164</v>
      </c>
      <c r="C172" s="9" t="s">
        <v>179</v>
      </c>
      <c r="D172" s="89" t="s">
        <v>581</v>
      </c>
      <c r="E172" s="508" t="s">
        <v>1790</v>
      </c>
      <c r="F172" s="91">
        <v>7005.9073811037451</v>
      </c>
      <c r="G172" s="91"/>
      <c r="H172" s="91"/>
      <c r="I172" s="91">
        <v>2.3713721413326669</v>
      </c>
      <c r="J172" s="91">
        <v>4801.106174862688</v>
      </c>
      <c r="K172" s="91">
        <v>7005.9073811037451</v>
      </c>
      <c r="L172" s="91">
        <v>7005.9073811037451</v>
      </c>
      <c r="M172" s="91">
        <v>43239.78978402607</v>
      </c>
      <c r="N172" s="91">
        <v>32044.30222877931</v>
      </c>
      <c r="O172" s="91">
        <f>MIN(K172,L172,M172,N172)</f>
        <v>7005.9073811037451</v>
      </c>
      <c r="P172" s="91">
        <f t="shared" si="7"/>
        <v>32044.30222877931</v>
      </c>
      <c r="Q172" s="122"/>
      <c r="R172" s="122"/>
      <c r="S172" s="122"/>
      <c r="T172" s="122"/>
      <c r="U172" s="122"/>
      <c r="V172" s="122"/>
      <c r="W172" s="122"/>
      <c r="X172" s="122"/>
      <c r="Y172" s="122"/>
      <c r="Z172" s="122"/>
      <c r="AA172" s="122"/>
      <c r="AB172" s="122"/>
      <c r="AC172" s="122"/>
      <c r="AD172" s="122"/>
      <c r="AE172" s="122"/>
      <c r="AF172" s="122"/>
      <c r="AG172" s="122"/>
      <c r="AH172" s="122"/>
      <c r="AI172" s="122"/>
      <c r="AJ172" s="122"/>
      <c r="AK172" s="122"/>
      <c r="AL172" s="122"/>
      <c r="AM172" s="122"/>
      <c r="AN172" s="122"/>
      <c r="AO172" s="122"/>
    </row>
    <row r="173" spans="2:41">
      <c r="B173" s="9">
        <v>165</v>
      </c>
      <c r="C173" s="9" t="s">
        <v>155</v>
      </c>
      <c r="D173" s="89" t="s">
        <v>581</v>
      </c>
      <c r="E173" s="508" t="s">
        <v>1290</v>
      </c>
      <c r="F173" s="91"/>
      <c r="G173" s="91"/>
      <c r="H173" s="91"/>
      <c r="I173" s="91"/>
      <c r="J173" s="91"/>
      <c r="K173" s="91"/>
      <c r="L173" s="91"/>
      <c r="M173" s="91"/>
      <c r="N173" s="91"/>
      <c r="O173" s="91"/>
      <c r="P173" s="91"/>
      <c r="Q173" s="122"/>
      <c r="R173" s="122"/>
      <c r="S173" s="122"/>
      <c r="T173" s="122"/>
      <c r="U173" s="122"/>
      <c r="V173" s="122"/>
      <c r="W173" s="122"/>
      <c r="X173" s="122"/>
      <c r="Y173" s="122"/>
      <c r="Z173" s="122"/>
      <c r="AA173" s="122"/>
      <c r="AB173" s="122"/>
      <c r="AC173" s="122"/>
      <c r="AD173" s="122"/>
      <c r="AE173" s="122"/>
      <c r="AF173" s="122"/>
      <c r="AG173" s="122"/>
      <c r="AH173" s="122"/>
      <c r="AI173" s="122"/>
      <c r="AJ173" s="122"/>
      <c r="AK173" s="122"/>
      <c r="AL173" s="122"/>
      <c r="AM173" s="122"/>
      <c r="AN173" s="122"/>
      <c r="AO173" s="122"/>
    </row>
    <row r="174" spans="2:41">
      <c r="B174" s="9">
        <v>166</v>
      </c>
      <c r="C174" s="9" t="s">
        <v>156</v>
      </c>
      <c r="D174" s="89" t="s">
        <v>581</v>
      </c>
      <c r="E174" s="508" t="s">
        <v>1813</v>
      </c>
      <c r="F174" s="91">
        <v>467.06049207358308</v>
      </c>
      <c r="G174" s="91"/>
      <c r="H174" s="91"/>
      <c r="I174" s="91">
        <v>0.45643919050443116</v>
      </c>
      <c r="J174" s="91">
        <v>320.07374499084585</v>
      </c>
      <c r="K174" s="91">
        <v>467.06049207358308</v>
      </c>
      <c r="L174" s="91">
        <v>467.06049207358308</v>
      </c>
      <c r="M174" s="91">
        <v>2882.6526522684048</v>
      </c>
      <c r="N174" s="91">
        <v>2136.2868152519541</v>
      </c>
      <c r="O174" s="91">
        <f>MIN(K174,L174,M174,N174)</f>
        <v>467.06049207358308</v>
      </c>
      <c r="P174" s="91">
        <f t="shared" si="7"/>
        <v>2136.2868152519541</v>
      </c>
      <c r="Q174" s="122"/>
      <c r="R174" s="122"/>
      <c r="S174" s="122"/>
      <c r="T174" s="122"/>
      <c r="U174" s="122"/>
      <c r="V174" s="122"/>
      <c r="W174" s="122"/>
      <c r="X174" s="122"/>
      <c r="Y174" s="122"/>
      <c r="Z174" s="122"/>
      <c r="AA174" s="122"/>
      <c r="AB174" s="122"/>
      <c r="AC174" s="122"/>
      <c r="AD174" s="122"/>
      <c r="AE174" s="122"/>
      <c r="AF174" s="122"/>
      <c r="AG174" s="122"/>
      <c r="AH174" s="122"/>
      <c r="AI174" s="122"/>
      <c r="AJ174" s="122"/>
      <c r="AK174" s="122"/>
      <c r="AL174" s="122"/>
      <c r="AM174" s="122"/>
      <c r="AN174" s="122"/>
      <c r="AO174" s="122"/>
    </row>
    <row r="175" spans="2:41">
      <c r="B175" s="9">
        <v>167</v>
      </c>
      <c r="C175" s="9" t="s">
        <v>157</v>
      </c>
      <c r="D175" s="89" t="s">
        <v>581</v>
      </c>
      <c r="E175" s="508" t="s">
        <v>1823</v>
      </c>
      <c r="F175" s="91">
        <v>16347.117222575407</v>
      </c>
      <c r="G175" s="91"/>
      <c r="H175" s="91"/>
      <c r="I175" s="91">
        <v>9.1651599670876003</v>
      </c>
      <c r="J175" s="91">
        <v>11202.581074679607</v>
      </c>
      <c r="K175" s="91">
        <v>16347.117222575407</v>
      </c>
      <c r="L175" s="91">
        <v>16347.117222575407</v>
      </c>
      <c r="M175" s="91">
        <v>100892.84282939417</v>
      </c>
      <c r="N175" s="91">
        <v>74770.038533818399</v>
      </c>
      <c r="O175" s="91">
        <f>MIN(K175,L175,M175,N175)</f>
        <v>16347.117222575407</v>
      </c>
      <c r="P175" s="91">
        <f t="shared" si="7"/>
        <v>74770.038533818399</v>
      </c>
      <c r="Q175" s="122"/>
      <c r="R175" s="122"/>
      <c r="S175" s="122"/>
      <c r="T175" s="122"/>
      <c r="U175" s="122"/>
      <c r="V175" s="122"/>
      <c r="W175" s="122"/>
      <c r="X175" s="122"/>
      <c r="Y175" s="122"/>
      <c r="Z175" s="122"/>
      <c r="AA175" s="122"/>
      <c r="AB175" s="122"/>
      <c r="AC175" s="122"/>
      <c r="AD175" s="122"/>
      <c r="AE175" s="122"/>
      <c r="AF175" s="122"/>
      <c r="AG175" s="122"/>
      <c r="AH175" s="122"/>
      <c r="AI175" s="122"/>
      <c r="AJ175" s="122"/>
      <c r="AK175" s="122"/>
      <c r="AL175" s="122"/>
      <c r="AM175" s="122"/>
      <c r="AN175" s="122"/>
      <c r="AO175" s="122"/>
    </row>
    <row r="176" spans="2:41" ht="30">
      <c r="B176" s="9">
        <v>168</v>
      </c>
      <c r="C176" s="9" t="s">
        <v>180</v>
      </c>
      <c r="D176" s="89" t="s">
        <v>581</v>
      </c>
      <c r="E176" s="508" t="s">
        <v>1827</v>
      </c>
      <c r="F176" s="91"/>
      <c r="G176" s="91"/>
      <c r="H176" s="91"/>
      <c r="I176" s="91"/>
      <c r="J176" s="91"/>
      <c r="K176" s="91"/>
      <c r="L176" s="91"/>
      <c r="M176" s="91"/>
      <c r="N176" s="91"/>
      <c r="O176" s="91"/>
      <c r="P176" s="91"/>
      <c r="Q176" s="122"/>
      <c r="R176" s="122"/>
      <c r="S176" s="122"/>
      <c r="T176" s="122"/>
      <c r="U176" s="122"/>
      <c r="V176" s="122"/>
      <c r="W176" s="122"/>
      <c r="X176" s="122"/>
      <c r="Y176" s="122"/>
      <c r="Z176" s="122"/>
      <c r="AA176" s="122"/>
      <c r="AB176" s="122"/>
      <c r="AC176" s="122"/>
      <c r="AD176" s="122"/>
      <c r="AE176" s="122"/>
      <c r="AF176" s="122"/>
      <c r="AG176" s="122"/>
      <c r="AH176" s="122"/>
      <c r="AI176" s="122"/>
      <c r="AJ176" s="122"/>
      <c r="AK176" s="122"/>
      <c r="AL176" s="122"/>
      <c r="AM176" s="122"/>
      <c r="AN176" s="122"/>
      <c r="AO176" s="122"/>
    </row>
    <row r="177" spans="2:41" ht="30">
      <c r="B177" s="9">
        <v>169</v>
      </c>
      <c r="C177" s="9" t="s">
        <v>158</v>
      </c>
      <c r="D177" s="89" t="s">
        <v>581</v>
      </c>
      <c r="E177" s="508" t="s">
        <v>1837</v>
      </c>
      <c r="F177" s="91">
        <v>7706.4981192141213</v>
      </c>
      <c r="G177" s="91"/>
      <c r="H177" s="91"/>
      <c r="I177" s="91">
        <v>2.0398057066306956</v>
      </c>
      <c r="J177" s="91">
        <v>5281.2167923489578</v>
      </c>
      <c r="K177" s="91">
        <v>7706.4981192141213</v>
      </c>
      <c r="L177" s="91">
        <v>7706.4981192141213</v>
      </c>
      <c r="M177" s="91">
        <v>47563.768762428685</v>
      </c>
      <c r="N177" s="91">
        <v>35248.732451657241</v>
      </c>
      <c r="O177" s="91">
        <f>MIN(K177,L177,M177,N177)</f>
        <v>7706.4981192141213</v>
      </c>
      <c r="P177" s="91">
        <f t="shared" si="7"/>
        <v>35248.732451657241</v>
      </c>
      <c r="Q177" s="122"/>
      <c r="R177" s="122"/>
      <c r="S177" s="122"/>
      <c r="T177" s="122"/>
      <c r="U177" s="122"/>
      <c r="V177" s="122"/>
      <c r="W177" s="122"/>
      <c r="X177" s="122"/>
      <c r="Y177" s="122"/>
      <c r="Z177" s="122"/>
      <c r="AA177" s="122"/>
      <c r="AB177" s="122"/>
      <c r="AC177" s="122"/>
      <c r="AD177" s="122"/>
      <c r="AE177" s="122"/>
      <c r="AF177" s="122"/>
      <c r="AG177" s="122"/>
      <c r="AH177" s="122"/>
      <c r="AI177" s="122"/>
      <c r="AJ177" s="122"/>
      <c r="AK177" s="122"/>
      <c r="AL177" s="122"/>
      <c r="AM177" s="122"/>
      <c r="AN177" s="122"/>
      <c r="AO177" s="122"/>
    </row>
    <row r="178" spans="2:41">
      <c r="B178" s="9">
        <v>170</v>
      </c>
      <c r="C178" s="9" t="s">
        <v>159</v>
      </c>
      <c r="D178" s="89" t="s">
        <v>581</v>
      </c>
      <c r="E178" s="508" t="s">
        <v>1843</v>
      </c>
      <c r="F178" s="91">
        <v>700.59073811037456</v>
      </c>
      <c r="G178" s="91"/>
      <c r="H178" s="91"/>
      <c r="I178" s="91">
        <v>0.31110547240009945</v>
      </c>
      <c r="J178" s="91">
        <v>480.11061748626878</v>
      </c>
      <c r="K178" s="91">
        <v>700.59073811037456</v>
      </c>
      <c r="L178" s="91">
        <v>700.59073811037456</v>
      </c>
      <c r="M178" s="91">
        <v>4323.978978402607</v>
      </c>
      <c r="N178" s="91">
        <v>3204.4302228779306</v>
      </c>
      <c r="O178" s="91">
        <f>MIN(K178,L178,M178,N178)</f>
        <v>700.59073811037456</v>
      </c>
      <c r="P178" s="91">
        <f t="shared" si="7"/>
        <v>3204.4302228779306</v>
      </c>
      <c r="Q178" s="122"/>
      <c r="R178" s="122"/>
      <c r="S178" s="122"/>
      <c r="T178" s="122"/>
      <c r="U178" s="122"/>
      <c r="V178" s="122"/>
      <c r="W178" s="122"/>
      <c r="X178" s="122"/>
      <c r="Y178" s="122"/>
      <c r="Z178" s="122"/>
      <c r="AA178" s="122"/>
      <c r="AB178" s="122"/>
      <c r="AC178" s="122"/>
      <c r="AD178" s="122"/>
      <c r="AE178" s="122"/>
      <c r="AF178" s="122"/>
      <c r="AG178" s="122"/>
      <c r="AH178" s="122"/>
      <c r="AI178" s="122"/>
      <c r="AJ178" s="122"/>
      <c r="AK178" s="122"/>
      <c r="AL178" s="122"/>
      <c r="AM178" s="122"/>
      <c r="AN178" s="122"/>
      <c r="AO178" s="122"/>
    </row>
    <row r="179" spans="2:41">
      <c r="B179" s="9">
        <v>171</v>
      </c>
      <c r="C179" s="9" t="s">
        <v>160</v>
      </c>
      <c r="D179" s="89" t="s">
        <v>581</v>
      </c>
      <c r="E179" s="508" t="s">
        <v>1846</v>
      </c>
      <c r="F179" s="91">
        <v>467.06049207358308</v>
      </c>
      <c r="G179" s="91"/>
      <c r="H179" s="91"/>
      <c r="I179" s="91">
        <v>0.46470976482626952</v>
      </c>
      <c r="J179" s="91">
        <v>320.07374499084585</v>
      </c>
      <c r="K179" s="91">
        <v>467.06049207358308</v>
      </c>
      <c r="L179" s="91">
        <v>467.06049207358308</v>
      </c>
      <c r="M179" s="91">
        <v>2882.6526522684048</v>
      </c>
      <c r="N179" s="91">
        <v>2136.2868152519541</v>
      </c>
      <c r="O179" s="91">
        <f>MIN(K179,L179,M179,N179)</f>
        <v>467.06049207358308</v>
      </c>
      <c r="P179" s="91">
        <f t="shared" si="7"/>
        <v>2136.2868152519541</v>
      </c>
      <c r="Q179" s="122"/>
      <c r="R179" s="122"/>
      <c r="S179" s="122"/>
      <c r="T179" s="122"/>
      <c r="U179" s="122"/>
      <c r="V179" s="122"/>
      <c r="W179" s="122"/>
      <c r="X179" s="122"/>
      <c r="Y179" s="122"/>
      <c r="Z179" s="122"/>
      <c r="AA179" s="122"/>
      <c r="AB179" s="122"/>
      <c r="AC179" s="122"/>
      <c r="AD179" s="122"/>
      <c r="AE179" s="122"/>
      <c r="AF179" s="122"/>
      <c r="AG179" s="122"/>
      <c r="AH179" s="122"/>
      <c r="AI179" s="122"/>
      <c r="AJ179" s="122"/>
      <c r="AK179" s="122"/>
      <c r="AL179" s="122"/>
      <c r="AM179" s="122"/>
      <c r="AN179" s="122"/>
      <c r="AO179" s="122"/>
    </row>
    <row r="180" spans="2:41">
      <c r="B180" s="9">
        <v>172</v>
      </c>
      <c r="C180" s="9" t="s">
        <v>161</v>
      </c>
      <c r="D180" s="89" t="s">
        <v>581</v>
      </c>
      <c r="E180" s="508" t="s">
        <v>1854</v>
      </c>
      <c r="F180" s="91">
        <v>7005.9073811037451</v>
      </c>
      <c r="G180" s="91"/>
      <c r="H180" s="91"/>
      <c r="I180" s="91">
        <v>1.9315351825712983</v>
      </c>
      <c r="J180" s="91">
        <v>4801.106174862688</v>
      </c>
      <c r="K180" s="91">
        <v>7005.9073811037451</v>
      </c>
      <c r="L180" s="91">
        <v>7005.9073811037451</v>
      </c>
      <c r="M180" s="91">
        <v>43239.78978402607</v>
      </c>
      <c r="N180" s="91">
        <v>32044.30222877931</v>
      </c>
      <c r="O180" s="91">
        <f>MIN(K180,L180,M180,N180)</f>
        <v>7005.9073811037451</v>
      </c>
      <c r="P180" s="91">
        <f t="shared" si="7"/>
        <v>32044.30222877931</v>
      </c>
      <c r="Q180" s="122"/>
      <c r="R180" s="122"/>
      <c r="S180" s="122"/>
      <c r="T180" s="122"/>
      <c r="U180" s="122"/>
      <c r="V180" s="122"/>
      <c r="W180" s="122"/>
      <c r="X180" s="122"/>
      <c r="Y180" s="122"/>
      <c r="Z180" s="122"/>
      <c r="AA180" s="122"/>
      <c r="AB180" s="122"/>
      <c r="AC180" s="122"/>
      <c r="AD180" s="122"/>
      <c r="AE180" s="122"/>
      <c r="AF180" s="122"/>
      <c r="AG180" s="122"/>
      <c r="AH180" s="122"/>
      <c r="AI180" s="122"/>
      <c r="AJ180" s="122"/>
      <c r="AK180" s="122"/>
      <c r="AL180" s="122"/>
      <c r="AM180" s="122"/>
      <c r="AN180" s="122"/>
      <c r="AO180" s="122"/>
    </row>
    <row r="181" spans="2:41" ht="30">
      <c r="B181" s="9">
        <v>173</v>
      </c>
      <c r="C181" s="9" t="s">
        <v>162</v>
      </c>
      <c r="D181" s="89" t="s">
        <v>581</v>
      </c>
      <c r="E181" s="508" t="s">
        <v>1856</v>
      </c>
      <c r="F181" s="91">
        <v>18682.41968294332</v>
      </c>
      <c r="G181" s="91"/>
      <c r="H181" s="91"/>
      <c r="I181" s="91">
        <v>6.8503761939898338</v>
      </c>
      <c r="J181" s="91">
        <v>12802.949799633836</v>
      </c>
      <c r="K181" s="91">
        <v>18682.41968294332</v>
      </c>
      <c r="L181" s="91">
        <v>18682.41968294332</v>
      </c>
      <c r="M181" s="91">
        <v>115306.10609073618</v>
      </c>
      <c r="N181" s="91">
        <v>85451.47261007817</v>
      </c>
      <c r="O181" s="91">
        <f>MIN(K181,L181,M181,N181)</f>
        <v>18682.41968294332</v>
      </c>
      <c r="P181" s="91">
        <f t="shared" si="7"/>
        <v>85451.47261007817</v>
      </c>
      <c r="Q181" s="122"/>
      <c r="R181" s="122"/>
      <c r="S181" s="122"/>
      <c r="T181" s="122"/>
      <c r="U181" s="122"/>
      <c r="V181" s="122"/>
      <c r="W181" s="122"/>
      <c r="X181" s="122"/>
      <c r="Y181" s="122"/>
      <c r="Z181" s="122"/>
      <c r="AA181" s="122"/>
      <c r="AB181" s="122"/>
      <c r="AC181" s="122"/>
      <c r="AD181" s="122"/>
      <c r="AE181" s="122"/>
      <c r="AF181" s="122"/>
      <c r="AG181" s="122"/>
      <c r="AH181" s="122"/>
      <c r="AI181" s="122"/>
      <c r="AJ181" s="122"/>
      <c r="AK181" s="122"/>
      <c r="AL181" s="122"/>
      <c r="AM181" s="122"/>
      <c r="AN181" s="122"/>
      <c r="AO181" s="122"/>
    </row>
    <row r="182" spans="2:41">
      <c r="B182" s="9">
        <v>174</v>
      </c>
      <c r="C182" s="9" t="s">
        <v>163</v>
      </c>
      <c r="D182" s="89" t="s">
        <v>581</v>
      </c>
      <c r="E182" s="508" t="s">
        <v>1857</v>
      </c>
      <c r="F182" s="91"/>
      <c r="G182" s="91"/>
      <c r="H182" s="91"/>
      <c r="I182" s="91"/>
      <c r="J182" s="91"/>
      <c r="K182" s="91"/>
      <c r="L182" s="91"/>
      <c r="M182" s="91"/>
      <c r="N182" s="91"/>
      <c r="O182" s="91"/>
      <c r="P182" s="91"/>
      <c r="Q182" s="122"/>
      <c r="R182" s="122"/>
      <c r="S182" s="122"/>
      <c r="T182" s="122"/>
      <c r="U182" s="122"/>
      <c r="V182" s="122"/>
      <c r="W182" s="122"/>
      <c r="X182" s="122"/>
      <c r="Y182" s="122"/>
      <c r="Z182" s="122"/>
      <c r="AA182" s="122"/>
      <c r="AB182" s="122"/>
      <c r="AC182" s="122"/>
      <c r="AD182" s="122"/>
      <c r="AE182" s="122"/>
      <c r="AF182" s="122"/>
      <c r="AG182" s="122"/>
      <c r="AH182" s="122"/>
      <c r="AI182" s="122"/>
      <c r="AJ182" s="122"/>
      <c r="AK182" s="122"/>
      <c r="AL182" s="122"/>
      <c r="AM182" s="122"/>
      <c r="AN182" s="122"/>
      <c r="AO182" s="122"/>
    </row>
    <row r="183" spans="2:41">
      <c r="B183" s="9">
        <v>175</v>
      </c>
      <c r="C183" s="9" t="s">
        <v>164</v>
      </c>
      <c r="D183" s="89" t="s">
        <v>581</v>
      </c>
      <c r="E183" s="508" t="s">
        <v>1860</v>
      </c>
      <c r="F183" s="91">
        <v>1868.2419682943323</v>
      </c>
      <c r="G183" s="91"/>
      <c r="H183" s="91"/>
      <c r="I183" s="91">
        <v>0.81734114841509053</v>
      </c>
      <c r="J183" s="91">
        <v>1280.2949799633834</v>
      </c>
      <c r="K183" s="91">
        <v>1868.2419682943323</v>
      </c>
      <c r="L183" s="91">
        <v>1868.2419682943323</v>
      </c>
      <c r="M183" s="91">
        <v>11530.610609073619</v>
      </c>
      <c r="N183" s="91">
        <v>8545.1472610078163</v>
      </c>
      <c r="O183" s="91">
        <f>MIN(K183,L183,M183,N183)</f>
        <v>1868.2419682943323</v>
      </c>
      <c r="P183" s="91">
        <f t="shared" si="7"/>
        <v>8545.1472610078163</v>
      </c>
      <c r="Q183" s="122"/>
      <c r="R183" s="122"/>
      <c r="S183" s="122"/>
      <c r="T183" s="122"/>
      <c r="U183" s="122"/>
      <c r="V183" s="122"/>
      <c r="W183" s="122"/>
      <c r="X183" s="122"/>
      <c r="Y183" s="122"/>
      <c r="Z183" s="122"/>
      <c r="AA183" s="122"/>
      <c r="AB183" s="122"/>
      <c r="AC183" s="122"/>
      <c r="AD183" s="122"/>
      <c r="AE183" s="122"/>
      <c r="AF183" s="122"/>
      <c r="AG183" s="122"/>
      <c r="AH183" s="122"/>
      <c r="AI183" s="122"/>
      <c r="AJ183" s="122"/>
      <c r="AK183" s="122"/>
      <c r="AL183" s="122"/>
      <c r="AM183" s="122"/>
      <c r="AN183" s="122"/>
      <c r="AO183" s="122"/>
    </row>
    <row r="184" spans="2:41" ht="30">
      <c r="B184" s="9">
        <v>176</v>
      </c>
      <c r="C184" s="135" t="s">
        <v>165</v>
      </c>
      <c r="D184" s="89" t="s">
        <v>581</v>
      </c>
      <c r="E184" s="508" t="s">
        <v>1862</v>
      </c>
      <c r="F184" s="91">
        <v>817.35586112877036</v>
      </c>
      <c r="G184" s="91"/>
      <c r="H184" s="91"/>
      <c r="I184" s="91">
        <v>0.25297501805843886</v>
      </c>
      <c r="J184" s="91">
        <v>560.1290537339803</v>
      </c>
      <c r="K184" s="91">
        <v>817.35586112877036</v>
      </c>
      <c r="L184" s="91">
        <v>817.35586112877036</v>
      </c>
      <c r="M184" s="91">
        <v>5044.6421414697088</v>
      </c>
      <c r="N184" s="91">
        <v>3738.5019266909194</v>
      </c>
      <c r="O184" s="91">
        <f>MIN(K184,L184,M184,N184)</f>
        <v>817.35586112877036</v>
      </c>
      <c r="P184" s="91">
        <f t="shared" si="7"/>
        <v>3738.5019266909194</v>
      </c>
      <c r="Q184" s="122"/>
      <c r="R184" s="122"/>
      <c r="S184" s="122"/>
      <c r="T184" s="122"/>
      <c r="U184" s="122"/>
      <c r="V184" s="122"/>
      <c r="W184" s="122"/>
      <c r="X184" s="122"/>
      <c r="Y184" s="122"/>
      <c r="Z184" s="122"/>
      <c r="AA184" s="122"/>
      <c r="AB184" s="122"/>
      <c r="AC184" s="122"/>
      <c r="AD184" s="122"/>
      <c r="AE184" s="122"/>
      <c r="AF184" s="122"/>
      <c r="AG184" s="122"/>
      <c r="AH184" s="122"/>
      <c r="AI184" s="122"/>
      <c r="AJ184" s="122"/>
      <c r="AK184" s="122"/>
      <c r="AL184" s="122"/>
      <c r="AM184" s="122"/>
      <c r="AN184" s="122"/>
      <c r="AO184" s="122"/>
    </row>
    <row r="185" spans="2:41">
      <c r="B185" s="9">
        <v>177</v>
      </c>
      <c r="C185" s="135" t="s">
        <v>420</v>
      </c>
      <c r="D185" s="89" t="s">
        <v>581</v>
      </c>
      <c r="E185" s="508" t="s">
        <v>1863</v>
      </c>
      <c r="F185" s="91"/>
      <c r="G185" s="91"/>
      <c r="H185" s="91"/>
      <c r="I185" s="91"/>
      <c r="J185" s="91"/>
      <c r="K185" s="91"/>
      <c r="L185" s="91"/>
      <c r="M185" s="91"/>
      <c r="N185" s="91"/>
      <c r="O185" s="91"/>
      <c r="P185" s="91"/>
      <c r="Q185" s="122"/>
      <c r="R185" s="122"/>
      <c r="S185" s="122"/>
      <c r="T185" s="122"/>
      <c r="U185" s="122"/>
      <c r="V185" s="122"/>
      <c r="W185" s="122"/>
      <c r="X185" s="122"/>
      <c r="Y185" s="122"/>
      <c r="Z185" s="122"/>
      <c r="AA185" s="122"/>
      <c r="AB185" s="122"/>
      <c r="AC185" s="122"/>
      <c r="AD185" s="122"/>
      <c r="AE185" s="122"/>
      <c r="AF185" s="122"/>
      <c r="AG185" s="122"/>
      <c r="AH185" s="122"/>
      <c r="AI185" s="122"/>
      <c r="AJ185" s="122"/>
      <c r="AK185" s="122"/>
      <c r="AL185" s="122"/>
      <c r="AM185" s="122"/>
      <c r="AN185" s="122"/>
      <c r="AO185" s="122"/>
    </row>
    <row r="186" spans="2:41">
      <c r="B186" s="9">
        <v>178</v>
      </c>
      <c r="C186" s="135" t="s">
        <v>166</v>
      </c>
      <c r="D186" s="89" t="s">
        <v>581</v>
      </c>
      <c r="E186" s="508" t="s">
        <v>1866</v>
      </c>
      <c r="F186" s="91">
        <v>700.59073811037456</v>
      </c>
      <c r="G186" s="91"/>
      <c r="H186" s="91"/>
      <c r="I186" s="91">
        <v>0.39531418522807871</v>
      </c>
      <c r="J186" s="91">
        <v>480.11061748626878</v>
      </c>
      <c r="K186" s="91">
        <v>700.59073811037456</v>
      </c>
      <c r="L186" s="91">
        <v>700.59073811037456</v>
      </c>
      <c r="M186" s="91">
        <v>4323.978978402607</v>
      </c>
      <c r="N186" s="91">
        <v>3204.4302228779306</v>
      </c>
      <c r="O186" s="91">
        <f t="shared" ref="O186:O191" si="8">MIN(K186,L186,M186,N186)</f>
        <v>700.59073811037456</v>
      </c>
      <c r="P186" s="91">
        <f t="shared" si="7"/>
        <v>3204.4302228779306</v>
      </c>
      <c r="Q186" s="122"/>
      <c r="R186" s="122"/>
      <c r="S186" s="122"/>
      <c r="T186" s="122"/>
      <c r="U186" s="122"/>
      <c r="V186" s="122"/>
      <c r="W186" s="122"/>
      <c r="X186" s="122"/>
      <c r="Y186" s="122"/>
      <c r="Z186" s="122"/>
      <c r="AA186" s="122"/>
      <c r="AB186" s="122"/>
      <c r="AC186" s="122"/>
      <c r="AD186" s="122"/>
      <c r="AE186" s="122"/>
      <c r="AF186" s="122"/>
      <c r="AG186" s="122"/>
      <c r="AH186" s="122"/>
      <c r="AI186" s="122"/>
      <c r="AJ186" s="122"/>
      <c r="AK186" s="122"/>
      <c r="AL186" s="122"/>
      <c r="AM186" s="122"/>
      <c r="AN186" s="122"/>
      <c r="AO186" s="122"/>
    </row>
    <row r="187" spans="2:41">
      <c r="B187" s="9">
        <v>179</v>
      </c>
      <c r="C187" s="135" t="s">
        <v>110</v>
      </c>
      <c r="D187" s="89" t="s">
        <v>584</v>
      </c>
      <c r="E187" s="508" t="s">
        <v>1896</v>
      </c>
      <c r="F187" s="435">
        <v>0.32203155324986232</v>
      </c>
      <c r="G187" s="431"/>
      <c r="H187" s="431"/>
      <c r="I187" s="431">
        <v>3.2729454773010071E-2</v>
      </c>
      <c r="J187" s="431">
        <v>7.4295856369880051E-2</v>
      </c>
      <c r="K187" s="431">
        <v>4.2433745915386761E-2</v>
      </c>
      <c r="L187" s="435">
        <v>0.32203155324986232</v>
      </c>
      <c r="M187" s="435">
        <v>0.13084036385374243</v>
      </c>
      <c r="N187" s="435">
        <v>0.13093047725762594</v>
      </c>
      <c r="O187" s="435">
        <f t="shared" si="8"/>
        <v>4.2433745915386761E-2</v>
      </c>
      <c r="P187" s="435">
        <f t="shared" si="7"/>
        <v>0.13084036385374243</v>
      </c>
    </row>
    <row r="188" spans="2:41">
      <c r="B188" s="9">
        <v>180</v>
      </c>
      <c r="C188" s="135" t="s">
        <v>421</v>
      </c>
      <c r="D188" s="89" t="s">
        <v>581</v>
      </c>
      <c r="E188" s="508" t="s">
        <v>1904</v>
      </c>
      <c r="F188" s="91">
        <v>934.12098414716615</v>
      </c>
      <c r="G188" s="91"/>
      <c r="H188" s="91"/>
      <c r="I188" s="91">
        <v>0.53531866416774199</v>
      </c>
      <c r="J188" s="91">
        <v>640.14748998169171</v>
      </c>
      <c r="K188" s="91">
        <v>934.12098414716615</v>
      </c>
      <c r="L188" s="91">
        <v>934.12098414716615</v>
      </c>
      <c r="M188" s="91">
        <v>5765.3053045368097</v>
      </c>
      <c r="N188" s="91">
        <v>4272.5736305039081</v>
      </c>
      <c r="O188" s="91">
        <f t="shared" si="8"/>
        <v>934.12098414716615</v>
      </c>
      <c r="P188" s="91">
        <f t="shared" si="7"/>
        <v>4272.5736305039081</v>
      </c>
    </row>
    <row r="189" spans="2:41">
      <c r="B189" s="9">
        <v>181</v>
      </c>
      <c r="C189" s="9" t="s">
        <v>422</v>
      </c>
      <c r="D189" s="89" t="s">
        <v>581</v>
      </c>
      <c r="E189" s="508" t="s">
        <v>1905</v>
      </c>
      <c r="F189" s="91">
        <v>3035.8931984782894</v>
      </c>
      <c r="G189" s="91"/>
      <c r="H189" s="91"/>
      <c r="I189" s="91">
        <v>3.0036829279116017</v>
      </c>
      <c r="J189" s="91">
        <v>2080.4793424404979</v>
      </c>
      <c r="K189" s="91">
        <v>3035.8931984782894</v>
      </c>
      <c r="L189" s="91">
        <v>3035.8931984782894</v>
      </c>
      <c r="M189" s="91">
        <v>18737.242239744632</v>
      </c>
      <c r="N189" s="91">
        <v>13885.8642991377</v>
      </c>
      <c r="O189" s="91">
        <f t="shared" si="8"/>
        <v>3035.8931984782894</v>
      </c>
      <c r="P189" s="91">
        <f t="shared" si="7"/>
        <v>13885.8642991377</v>
      </c>
    </row>
    <row r="190" spans="2:41">
      <c r="B190" s="9">
        <v>182</v>
      </c>
      <c r="C190" s="9" t="s">
        <v>423</v>
      </c>
      <c r="D190" s="89" t="s">
        <v>581</v>
      </c>
      <c r="E190" s="508" t="s">
        <v>1907</v>
      </c>
      <c r="F190" s="91">
        <v>1167.6512301839575</v>
      </c>
      <c r="G190" s="91"/>
      <c r="H190" s="91"/>
      <c r="I190" s="91">
        <v>0.57059957013381202</v>
      </c>
      <c r="J190" s="91">
        <v>800.18436247711475</v>
      </c>
      <c r="K190" s="91">
        <v>1167.6512301839575</v>
      </c>
      <c r="L190" s="91">
        <v>1167.6512301839575</v>
      </c>
      <c r="M190" s="91">
        <v>7206.6316306710114</v>
      </c>
      <c r="N190" s="91">
        <v>5340.7170381298856</v>
      </c>
      <c r="O190" s="91">
        <f t="shared" si="8"/>
        <v>1167.6512301839575</v>
      </c>
      <c r="P190" s="91">
        <f t="shared" si="7"/>
        <v>5340.7170381298856</v>
      </c>
    </row>
    <row r="191" spans="2:41">
      <c r="B191" s="9">
        <v>183</v>
      </c>
      <c r="C191" s="9" t="s">
        <v>167</v>
      </c>
      <c r="D191" s="89" t="s">
        <v>581</v>
      </c>
      <c r="E191" s="508" t="s">
        <v>1908</v>
      </c>
      <c r="F191" s="91">
        <v>4670.6049207358301</v>
      </c>
      <c r="G191" s="91"/>
      <c r="H191" s="91"/>
      <c r="I191" s="91">
        <v>1.940635788709957</v>
      </c>
      <c r="J191" s="91">
        <v>3200.737449908459</v>
      </c>
      <c r="K191" s="91">
        <v>4670.6049207358301</v>
      </c>
      <c r="L191" s="91">
        <v>4670.6049207358301</v>
      </c>
      <c r="M191" s="91">
        <v>28826.526522684046</v>
      </c>
      <c r="N191" s="91">
        <v>21362.868152519542</v>
      </c>
      <c r="O191" s="91">
        <f t="shared" si="8"/>
        <v>4670.6049207358301</v>
      </c>
      <c r="P191" s="91">
        <f t="shared" si="7"/>
        <v>21362.868152519542</v>
      </c>
    </row>
    <row r="192" spans="2:41">
      <c r="B192" s="9">
        <v>184</v>
      </c>
      <c r="C192" s="9" t="s">
        <v>168</v>
      </c>
      <c r="D192" s="89" t="s">
        <v>581</v>
      </c>
      <c r="E192" s="508" t="s">
        <v>1912</v>
      </c>
      <c r="F192" s="91"/>
      <c r="G192" s="91"/>
      <c r="H192" s="91"/>
      <c r="I192" s="91"/>
      <c r="J192" s="91"/>
      <c r="K192" s="91"/>
      <c r="L192" s="91"/>
      <c r="M192" s="91"/>
      <c r="N192" s="91"/>
      <c r="O192" s="91"/>
      <c r="P192" s="91"/>
    </row>
    <row r="193" spans="2:16">
      <c r="B193" s="9">
        <v>185</v>
      </c>
      <c r="C193" s="9" t="s">
        <v>169</v>
      </c>
      <c r="D193" s="89">
        <v>3</v>
      </c>
      <c r="E193" s="508" t="s">
        <v>1918</v>
      </c>
      <c r="F193" s="91">
        <v>121.43572793913158</v>
      </c>
      <c r="G193" s="91"/>
      <c r="H193" s="91"/>
      <c r="I193" s="91">
        <v>0.11249160421676309</v>
      </c>
      <c r="J193" s="91">
        <v>83.219173697619922</v>
      </c>
      <c r="K193" s="91">
        <v>121.43572793913158</v>
      </c>
      <c r="L193" s="91">
        <v>121.43572793913158</v>
      </c>
      <c r="M193" s="91">
        <v>749.48968958978514</v>
      </c>
      <c r="N193" s="91">
        <v>555.43457196550798</v>
      </c>
      <c r="O193" s="91">
        <f t="shared" ref="O193:O209" si="9">MIN(K193,L193,M193,N193)</f>
        <v>121.43572793913158</v>
      </c>
      <c r="P193" s="91">
        <f t="shared" si="7"/>
        <v>555.43457196550798</v>
      </c>
    </row>
    <row r="194" spans="2:16">
      <c r="B194" s="9">
        <v>186</v>
      </c>
      <c r="C194" s="9" t="s">
        <v>170</v>
      </c>
      <c r="D194" s="89" t="s">
        <v>581</v>
      </c>
      <c r="E194" s="508" t="s">
        <v>1926</v>
      </c>
      <c r="F194" s="91">
        <v>513.7665412809414</v>
      </c>
      <c r="G194" s="91"/>
      <c r="H194" s="91"/>
      <c r="I194" s="91">
        <v>0.51000280423543132</v>
      </c>
      <c r="J194" s="91">
        <v>352.08111948993047</v>
      </c>
      <c r="K194" s="91">
        <v>513.7665412809414</v>
      </c>
      <c r="L194" s="91">
        <v>513.7665412809414</v>
      </c>
      <c r="M194" s="91">
        <v>3170.9179174952455</v>
      </c>
      <c r="N194" s="91">
        <v>2349.9154967771497</v>
      </c>
      <c r="O194" s="91">
        <f t="shared" si="9"/>
        <v>513.7665412809414</v>
      </c>
      <c r="P194" s="91">
        <f t="shared" si="7"/>
        <v>2349.9154967771497</v>
      </c>
    </row>
    <row r="195" spans="2:16">
      <c r="B195" s="9">
        <v>187</v>
      </c>
      <c r="C195" s="9" t="s">
        <v>171</v>
      </c>
      <c r="D195" s="89" t="s">
        <v>581</v>
      </c>
      <c r="E195" s="508" t="s">
        <v>1927</v>
      </c>
      <c r="F195" s="91">
        <v>233.53024603679154</v>
      </c>
      <c r="G195" s="91"/>
      <c r="H195" s="91"/>
      <c r="I195" s="91">
        <v>0.18936232179624066</v>
      </c>
      <c r="J195" s="91">
        <v>160.03687249542293</v>
      </c>
      <c r="K195" s="91">
        <v>233.53024603679154</v>
      </c>
      <c r="L195" s="91">
        <v>233.53024603679154</v>
      </c>
      <c r="M195" s="91">
        <v>1441.3263261342024</v>
      </c>
      <c r="N195" s="91">
        <v>1068.143407625977</v>
      </c>
      <c r="O195" s="91">
        <f t="shared" si="9"/>
        <v>233.53024603679154</v>
      </c>
      <c r="P195" s="91">
        <f t="shared" si="7"/>
        <v>1068.143407625977</v>
      </c>
    </row>
    <row r="196" spans="2:16">
      <c r="B196" s="9">
        <v>188</v>
      </c>
      <c r="C196" s="89" t="s">
        <v>143</v>
      </c>
      <c r="D196" s="89" t="s">
        <v>581</v>
      </c>
      <c r="E196" s="508" t="s">
        <v>1709</v>
      </c>
      <c r="F196" s="91">
        <v>36.776715318568783</v>
      </c>
      <c r="G196" s="145"/>
      <c r="H196" s="145"/>
      <c r="I196" s="145">
        <v>8.7354161261959051E-2</v>
      </c>
      <c r="J196" s="91">
        <v>25.821000638922118</v>
      </c>
      <c r="K196" s="91">
        <v>34.52739271552413</v>
      </c>
      <c r="L196" s="91">
        <v>36.776715318568783</v>
      </c>
      <c r="M196" s="91">
        <v>90.876679698535341</v>
      </c>
      <c r="N196" s="91">
        <v>67.347223572387477</v>
      </c>
      <c r="O196" s="91">
        <f t="shared" si="9"/>
        <v>34.52739271552413</v>
      </c>
      <c r="P196" s="91">
        <f t="shared" si="7"/>
        <v>67.347223572387477</v>
      </c>
    </row>
    <row r="197" spans="2:16">
      <c r="B197" s="9">
        <v>189</v>
      </c>
      <c r="C197" s="89" t="s">
        <v>145</v>
      </c>
      <c r="D197" s="89" t="s">
        <v>581</v>
      </c>
      <c r="E197" s="513" t="s">
        <v>1706</v>
      </c>
      <c r="F197" s="91">
        <v>25.115994224284055</v>
      </c>
      <c r="G197" s="145"/>
      <c r="H197" s="145"/>
      <c r="I197" s="145">
        <v>1.1515066552416842E-2</v>
      </c>
      <c r="J197" s="91">
        <v>16.332303337821841</v>
      </c>
      <c r="K197" s="91">
        <v>20.392046770972527</v>
      </c>
      <c r="L197" s="91">
        <v>25.115994224284055</v>
      </c>
      <c r="M197" s="91">
        <v>60.697185743577712</v>
      </c>
      <c r="N197" s="91">
        <v>44.981693345838003</v>
      </c>
      <c r="O197" s="91">
        <f t="shared" si="9"/>
        <v>20.392046770972527</v>
      </c>
      <c r="P197" s="91">
        <f t="shared" si="7"/>
        <v>44.981693345838003</v>
      </c>
    </row>
    <row r="198" spans="2:16">
      <c r="B198" s="9">
        <v>190</v>
      </c>
      <c r="C198" s="89" t="s">
        <v>146</v>
      </c>
      <c r="D198" s="89" t="s">
        <v>583</v>
      </c>
      <c r="E198" s="508" t="s">
        <v>1707</v>
      </c>
      <c r="F198" s="91">
        <v>26.183830903829019</v>
      </c>
      <c r="G198" s="145"/>
      <c r="H198" s="145"/>
      <c r="I198" s="145">
        <v>6.9119219511789301E-2</v>
      </c>
      <c r="J198" s="91">
        <v>18.143758671975583</v>
      </c>
      <c r="K198" s="91">
        <v>25.801957924037069</v>
      </c>
      <c r="L198" s="91">
        <v>26.183830903829019</v>
      </c>
      <c r="M198" s="91">
        <v>64.80156541162772</v>
      </c>
      <c r="N198" s="91">
        <v>48.13703651336202</v>
      </c>
      <c r="O198" s="91">
        <f t="shared" si="9"/>
        <v>25.801957924037069</v>
      </c>
      <c r="P198" s="91">
        <f t="shared" si="7"/>
        <v>48.13703651336202</v>
      </c>
    </row>
    <row r="199" spans="2:16" ht="30">
      <c r="B199" s="9">
        <v>191</v>
      </c>
      <c r="C199" s="89" t="s">
        <v>147</v>
      </c>
      <c r="D199" s="89" t="s">
        <v>581</v>
      </c>
      <c r="E199" s="513" t="s">
        <v>1743</v>
      </c>
      <c r="F199" s="91">
        <v>3.0857060888023802</v>
      </c>
      <c r="G199" s="145"/>
      <c r="H199" s="145"/>
      <c r="I199" s="145">
        <v>1.030987658621395E-2</v>
      </c>
      <c r="J199" s="91">
        <v>1.1225343320263128</v>
      </c>
      <c r="K199" s="91">
        <v>2.1483899002081772</v>
      </c>
      <c r="L199" s="91">
        <v>3.0857060888023802</v>
      </c>
      <c r="M199" s="91">
        <v>3.965295316847369</v>
      </c>
      <c r="N199" s="91">
        <v>4.2451136205146893</v>
      </c>
      <c r="O199" s="91">
        <f t="shared" si="9"/>
        <v>2.1483899002081772</v>
      </c>
      <c r="P199" s="91">
        <f t="shared" si="7"/>
        <v>3.965295316847369</v>
      </c>
    </row>
    <row r="200" spans="2:16">
      <c r="B200" s="9">
        <v>192</v>
      </c>
      <c r="C200" s="89" t="s">
        <v>182</v>
      </c>
      <c r="D200" s="89" t="s">
        <v>582</v>
      </c>
      <c r="E200" s="508" t="s">
        <v>181</v>
      </c>
      <c r="F200" s="91">
        <v>2335.302460367915</v>
      </c>
      <c r="G200" s="91"/>
      <c r="H200" s="91"/>
      <c r="I200" s="91">
        <v>0.79098496366060445</v>
      </c>
      <c r="J200" s="91">
        <v>1600.3687249542295</v>
      </c>
      <c r="K200" s="91">
        <v>2335.302460367915</v>
      </c>
      <c r="L200" s="91">
        <v>2335.302460367915</v>
      </c>
      <c r="M200" s="91">
        <v>14413.263261342023</v>
      </c>
      <c r="N200" s="91">
        <v>10681.434076259771</v>
      </c>
      <c r="O200" s="91">
        <f t="shared" si="9"/>
        <v>2335.302460367915</v>
      </c>
      <c r="P200" s="91">
        <f t="shared" si="7"/>
        <v>10681.434076259771</v>
      </c>
    </row>
    <row r="201" spans="2:16">
      <c r="B201" s="9">
        <v>193</v>
      </c>
      <c r="C201" s="89" t="s">
        <v>176</v>
      </c>
      <c r="D201" s="89" t="s">
        <v>581</v>
      </c>
      <c r="E201" s="508" t="s">
        <v>1694</v>
      </c>
      <c r="F201" s="91">
        <v>8500.5009557392113</v>
      </c>
      <c r="G201" s="91"/>
      <c r="H201" s="91"/>
      <c r="I201" s="91">
        <v>2.8905756563744105</v>
      </c>
      <c r="J201" s="91">
        <v>5825.3421588333949</v>
      </c>
      <c r="K201" s="91">
        <v>8500.5009557392113</v>
      </c>
      <c r="L201" s="91">
        <v>8500.5009557392113</v>
      </c>
      <c r="M201" s="91">
        <v>52464.278271284973</v>
      </c>
      <c r="N201" s="91">
        <v>38880.420037585565</v>
      </c>
      <c r="O201" s="91">
        <f t="shared" si="9"/>
        <v>8500.5009557392113</v>
      </c>
      <c r="P201" s="91">
        <f t="shared" si="7"/>
        <v>38880.420037585565</v>
      </c>
    </row>
    <row r="202" spans="2:16">
      <c r="B202" s="9">
        <v>194</v>
      </c>
      <c r="C202" s="89" t="s">
        <v>183</v>
      </c>
      <c r="D202" s="89" t="s">
        <v>581</v>
      </c>
      <c r="E202" s="508" t="s">
        <v>1849</v>
      </c>
      <c r="F202" s="91">
        <v>116.76512301839577</v>
      </c>
      <c r="G202" s="145"/>
      <c r="H202" s="145"/>
      <c r="I202" s="145">
        <v>3.9860335215461E-2</v>
      </c>
      <c r="J202" s="91">
        <v>80.018436247711463</v>
      </c>
      <c r="K202" s="91">
        <v>116.76512301839577</v>
      </c>
      <c r="L202" s="91">
        <v>116.76512301839577</v>
      </c>
      <c r="M202" s="91">
        <v>720.66316306710121</v>
      </c>
      <c r="N202" s="91">
        <v>534.07170381298852</v>
      </c>
      <c r="O202" s="91">
        <f t="shared" si="9"/>
        <v>116.76512301839577</v>
      </c>
      <c r="P202" s="91">
        <f t="shared" ref="P202:P213" si="10">MIN(M202,N202)</f>
        <v>534.07170381298852</v>
      </c>
    </row>
    <row r="203" spans="2:16">
      <c r="B203" s="9">
        <v>195</v>
      </c>
      <c r="C203" s="89" t="s">
        <v>184</v>
      </c>
      <c r="D203" s="89" t="s">
        <v>581</v>
      </c>
      <c r="E203" s="508" t="s">
        <v>1851</v>
      </c>
      <c r="F203" s="91">
        <v>233.53024603679154</v>
      </c>
      <c r="G203" s="145"/>
      <c r="H203" s="145"/>
      <c r="I203" s="145">
        <v>7.9134186443665572E-2</v>
      </c>
      <c r="J203" s="91">
        <v>160.03687249542293</v>
      </c>
      <c r="K203" s="91">
        <v>233.53024603679154</v>
      </c>
      <c r="L203" s="91">
        <v>233.53024603679154</v>
      </c>
      <c r="M203" s="91">
        <v>1441.3263261342024</v>
      </c>
      <c r="N203" s="91">
        <v>1068.143407625977</v>
      </c>
      <c r="O203" s="91">
        <f t="shared" si="9"/>
        <v>233.53024603679154</v>
      </c>
      <c r="P203" s="91">
        <f t="shared" si="10"/>
        <v>1068.143407625977</v>
      </c>
    </row>
    <row r="204" spans="2:16">
      <c r="B204" s="9">
        <v>196</v>
      </c>
      <c r="C204" s="89" t="s">
        <v>149</v>
      </c>
      <c r="D204" s="89" t="s">
        <v>583</v>
      </c>
      <c r="E204" s="508" t="s">
        <v>1787</v>
      </c>
      <c r="F204" s="91">
        <v>45.956772893197964</v>
      </c>
      <c r="G204" s="145"/>
      <c r="H204" s="145"/>
      <c r="I204" s="145">
        <v>1.5904290805204432E-2</v>
      </c>
      <c r="J204" s="91">
        <v>3.8544544913479375</v>
      </c>
      <c r="K204" s="91">
        <v>43.387082684591199</v>
      </c>
      <c r="L204" s="91">
        <v>45.956772893197964</v>
      </c>
      <c r="M204" s="91">
        <v>167.01976114119344</v>
      </c>
      <c r="N204" s="91">
        <v>185.78211422887054</v>
      </c>
      <c r="O204" s="91">
        <f t="shared" si="9"/>
        <v>43.387082684591199</v>
      </c>
      <c r="P204" s="91">
        <f t="shared" si="10"/>
        <v>167.01976114119344</v>
      </c>
    </row>
    <row r="205" spans="2:16">
      <c r="B205" s="9">
        <v>197</v>
      </c>
      <c r="C205" s="89" t="s">
        <v>424</v>
      </c>
      <c r="D205" s="89" t="s">
        <v>581</v>
      </c>
      <c r="E205" s="508" t="s">
        <v>1835</v>
      </c>
      <c r="F205" s="435">
        <v>15688.206427578925</v>
      </c>
      <c r="G205" s="432"/>
      <c r="H205" s="432"/>
      <c r="I205" s="435">
        <v>3.8660191734483611</v>
      </c>
      <c r="J205" s="435">
        <v>4.3479555175150715</v>
      </c>
      <c r="K205" s="435">
        <v>76.994641675642853</v>
      </c>
      <c r="L205" s="435">
        <v>15688.206427578925</v>
      </c>
      <c r="M205" s="435">
        <v>18.143278214937101</v>
      </c>
      <c r="N205" s="435">
        <v>58.835322470235987</v>
      </c>
      <c r="O205" s="435">
        <f t="shared" si="9"/>
        <v>18.143278214937101</v>
      </c>
      <c r="P205" s="435">
        <f t="shared" si="10"/>
        <v>18.143278214937101</v>
      </c>
    </row>
    <row r="206" spans="2:16">
      <c r="B206" s="9">
        <v>198</v>
      </c>
      <c r="C206" s="89" t="s">
        <v>194</v>
      </c>
      <c r="D206" s="89" t="s">
        <v>582</v>
      </c>
      <c r="E206" s="508" t="s">
        <v>1654</v>
      </c>
      <c r="F206" s="91">
        <v>7.1639099510883026</v>
      </c>
      <c r="G206" s="135"/>
      <c r="H206" s="135"/>
      <c r="I206" s="141">
        <v>6.3818901555875085E-3</v>
      </c>
      <c r="J206" s="141">
        <v>4.9320299730109457E-2</v>
      </c>
      <c r="K206" s="91">
        <v>1.2994611184852869</v>
      </c>
      <c r="L206" s="91">
        <v>7.1639099510883026</v>
      </c>
      <c r="M206" s="91">
        <v>0.32174582712797967</v>
      </c>
      <c r="N206" s="91">
        <v>1.0246275273898899</v>
      </c>
      <c r="O206" s="91">
        <f t="shared" si="9"/>
        <v>0.32174582712797967</v>
      </c>
      <c r="P206" s="91">
        <f t="shared" si="10"/>
        <v>0.32174582712797967</v>
      </c>
    </row>
    <row r="207" spans="2:16">
      <c r="B207" s="9">
        <v>199</v>
      </c>
      <c r="C207" s="89" t="s">
        <v>195</v>
      </c>
      <c r="D207" s="89" t="s">
        <v>582</v>
      </c>
      <c r="E207" s="508" t="s">
        <v>1660</v>
      </c>
      <c r="F207" s="91">
        <v>934.12098414716615</v>
      </c>
      <c r="G207" s="135"/>
      <c r="H207" s="135"/>
      <c r="I207" s="145">
        <v>0.43157284636732673</v>
      </c>
      <c r="J207" s="91">
        <v>640.14748998169171</v>
      </c>
      <c r="K207" s="91">
        <v>934.12098414716615</v>
      </c>
      <c r="L207" s="91">
        <v>934.12098414716615</v>
      </c>
      <c r="M207" s="91">
        <v>5765.3053045368097</v>
      </c>
      <c r="N207" s="91">
        <v>4272.5736305039081</v>
      </c>
      <c r="O207" s="91">
        <f t="shared" si="9"/>
        <v>934.12098414716615</v>
      </c>
      <c r="P207" s="91">
        <f t="shared" si="10"/>
        <v>4272.5736305039081</v>
      </c>
    </row>
    <row r="208" spans="2:16">
      <c r="B208" s="9">
        <v>200</v>
      </c>
      <c r="C208" s="89" t="s">
        <v>148</v>
      </c>
      <c r="D208" s="89" t="s">
        <v>581</v>
      </c>
      <c r="E208" s="508" t="s">
        <v>1811</v>
      </c>
      <c r="F208" s="91">
        <v>9.2117861140482713</v>
      </c>
      <c r="G208" s="135"/>
      <c r="H208" s="135"/>
      <c r="I208" s="159">
        <v>6.9649118417572644E-3</v>
      </c>
      <c r="J208" s="91">
        <v>3.1455572252945139</v>
      </c>
      <c r="K208" s="91">
        <v>8.8052002061220556</v>
      </c>
      <c r="L208" s="91">
        <v>9.2117861140482713</v>
      </c>
      <c r="M208" s="91">
        <v>17.948293812673739</v>
      </c>
      <c r="N208" s="91">
        <v>28.28787054035897</v>
      </c>
      <c r="O208" s="91">
        <f t="shared" si="9"/>
        <v>8.8052002061220556</v>
      </c>
      <c r="P208" s="91">
        <f t="shared" si="10"/>
        <v>17.948293812673739</v>
      </c>
    </row>
    <row r="209" spans="2:16">
      <c r="B209" s="9">
        <v>201</v>
      </c>
      <c r="C209" s="89" t="s">
        <v>66</v>
      </c>
      <c r="D209" s="89">
        <v>3</v>
      </c>
      <c r="E209" s="508" t="s">
        <v>1756</v>
      </c>
      <c r="F209" s="91">
        <v>38.545680415379913</v>
      </c>
      <c r="G209" s="135"/>
      <c r="H209" s="135"/>
      <c r="I209" s="145">
        <v>0.11486295712545876</v>
      </c>
      <c r="J209" s="145">
        <v>0.15860042002663083</v>
      </c>
      <c r="K209" s="91">
        <v>4.495740280195756</v>
      </c>
      <c r="L209" s="91">
        <v>38.545680415379913</v>
      </c>
      <c r="M209" s="91">
        <v>0.66752818193731145</v>
      </c>
      <c r="N209" s="91">
        <v>2.2618226085257591</v>
      </c>
      <c r="O209" s="91">
        <f t="shared" si="9"/>
        <v>0.66752818193731145</v>
      </c>
      <c r="P209" s="91">
        <f t="shared" si="10"/>
        <v>0.66752818193731145</v>
      </c>
    </row>
    <row r="210" spans="2:16">
      <c r="B210" s="9">
        <v>202</v>
      </c>
      <c r="C210" s="89" t="s">
        <v>425</v>
      </c>
      <c r="D210" s="89" t="s">
        <v>581</v>
      </c>
      <c r="E210" s="509" t="s">
        <v>1873</v>
      </c>
      <c r="F210" s="135"/>
      <c r="G210" s="135"/>
      <c r="H210" s="135"/>
      <c r="I210" s="135"/>
      <c r="J210" s="135"/>
      <c r="K210" s="135"/>
      <c r="L210" s="135"/>
      <c r="M210" s="135"/>
      <c r="N210" s="135"/>
      <c r="O210" s="135"/>
      <c r="P210" s="135"/>
    </row>
    <row r="211" spans="2:16">
      <c r="B211" s="9">
        <v>203</v>
      </c>
      <c r="C211" s="89" t="s">
        <v>60</v>
      </c>
      <c r="D211" s="89" t="s">
        <v>581</v>
      </c>
      <c r="E211" s="508" t="s">
        <v>1716</v>
      </c>
      <c r="F211" s="144">
        <v>210177.22143311237</v>
      </c>
      <c r="G211" s="135"/>
      <c r="H211" s="135"/>
      <c r="I211" s="91">
        <v>60.372940850855791</v>
      </c>
      <c r="J211" s="144">
        <v>144033.18524588065</v>
      </c>
      <c r="K211" s="144">
        <v>210177.22143311237</v>
      </c>
      <c r="L211" s="144">
        <v>210177.22143311237</v>
      </c>
      <c r="M211" s="144">
        <v>1000000</v>
      </c>
      <c r="N211" s="144">
        <v>961329.06686337932</v>
      </c>
      <c r="O211" s="91">
        <f>MIN(K211,L211,M211,N211)</f>
        <v>210177.22143311237</v>
      </c>
      <c r="P211" s="91">
        <f t="shared" si="10"/>
        <v>961329.06686337932</v>
      </c>
    </row>
    <row r="212" spans="2:16">
      <c r="B212" s="9">
        <v>204</v>
      </c>
      <c r="C212" s="89" t="s">
        <v>76</v>
      </c>
      <c r="D212" s="89" t="s">
        <v>581</v>
      </c>
      <c r="E212" s="508" t="s">
        <v>1792</v>
      </c>
      <c r="F212" s="144">
        <v>46706.049207358308</v>
      </c>
      <c r="G212" s="135"/>
      <c r="H212" s="135"/>
      <c r="I212" s="91">
        <v>12.919465629115795</v>
      </c>
      <c r="J212" s="144">
        <v>32007.374499084592</v>
      </c>
      <c r="K212" s="144">
        <v>46706.049207358308</v>
      </c>
      <c r="L212" s="144">
        <v>46706.049207358308</v>
      </c>
      <c r="M212" s="144">
        <v>288265.26522684051</v>
      </c>
      <c r="N212" s="144">
        <v>213628.6815251954</v>
      </c>
      <c r="O212" s="91">
        <f>MIN(K212,L212,M212,N212)</f>
        <v>46706.049207358308</v>
      </c>
      <c r="P212" s="91">
        <f t="shared" si="10"/>
        <v>213628.6815251954</v>
      </c>
    </row>
    <row r="213" spans="2:16">
      <c r="B213" s="9">
        <v>205</v>
      </c>
      <c r="C213" s="89" t="s">
        <v>345</v>
      </c>
      <c r="D213" s="89" t="s">
        <v>583</v>
      </c>
      <c r="E213" s="508" t="s">
        <v>1816</v>
      </c>
      <c r="F213" s="144">
        <v>29.444183487625008</v>
      </c>
      <c r="G213" s="135"/>
      <c r="H213" s="135"/>
      <c r="I213" s="91">
        <v>6.4244772163396177E-2</v>
      </c>
      <c r="J213" s="144">
        <v>0.97682548005199099</v>
      </c>
      <c r="K213" s="144">
        <v>20.97925715645086</v>
      </c>
      <c r="L213" s="144">
        <v>29.444183487625008</v>
      </c>
      <c r="M213" s="144">
        <v>6.3174256485268288</v>
      </c>
      <c r="N213" s="144">
        <v>19.187451130499593</v>
      </c>
      <c r="O213" s="91">
        <f>MIN(K213,L213,M213,N213)</f>
        <v>6.3174256485268288</v>
      </c>
      <c r="P213" s="91">
        <f t="shared" si="10"/>
        <v>6.3174256485268288</v>
      </c>
    </row>
    <row r="214" spans="2:16" s="122" customFormat="1">
      <c r="B214" s="9">
        <v>206</v>
      </c>
      <c r="C214" s="89" t="s">
        <v>426</v>
      </c>
      <c r="D214" s="89" t="s">
        <v>581</v>
      </c>
      <c r="E214" s="509" t="s">
        <v>1925</v>
      </c>
      <c r="F214" s="135"/>
      <c r="G214" s="135"/>
      <c r="H214" s="135"/>
      <c r="I214" s="135"/>
      <c r="J214" s="135"/>
      <c r="K214" s="135"/>
      <c r="L214" s="135"/>
      <c r="M214" s="135"/>
      <c r="N214" s="135"/>
      <c r="O214" s="91"/>
      <c r="P214" s="91"/>
    </row>
    <row r="215" spans="2:16">
      <c r="B215" s="9">
        <v>207</v>
      </c>
      <c r="C215" s="9" t="s">
        <v>427</v>
      </c>
      <c r="D215" s="89" t="s">
        <v>581</v>
      </c>
      <c r="E215" s="509" t="s">
        <v>1623</v>
      </c>
      <c r="F215" s="91">
        <v>65.486023897816395</v>
      </c>
      <c r="G215" s="91"/>
      <c r="H215" s="91"/>
      <c r="I215" s="91">
        <v>0.10884036196303516</v>
      </c>
      <c r="J215" s="91">
        <v>22.827354031591497</v>
      </c>
      <c r="K215" s="91">
        <v>15.935933663008324</v>
      </c>
      <c r="L215" s="91">
        <v>65.486023897816395</v>
      </c>
      <c r="M215" s="91">
        <v>74.629191259978427</v>
      </c>
      <c r="N215" s="91">
        <v>71.475550217756549</v>
      </c>
      <c r="O215" s="91">
        <f t="shared" ref="O215:O233" si="11">MIN(K215,L215,M215,N215)</f>
        <v>15.935933663008324</v>
      </c>
      <c r="P215" s="91">
        <f t="shared" ref="P215:P248" si="12">MIN(M215,N215)</f>
        <v>71.475550217756549</v>
      </c>
    </row>
    <row r="216" spans="2:16">
      <c r="B216" s="9">
        <v>208</v>
      </c>
      <c r="C216" s="9" t="s">
        <v>428</v>
      </c>
      <c r="D216" s="89" t="s">
        <v>581</v>
      </c>
      <c r="E216" s="509" t="s">
        <v>1831</v>
      </c>
      <c r="F216" s="144">
        <v>1000000</v>
      </c>
      <c r="G216" s="144"/>
      <c r="H216" s="144"/>
      <c r="I216" s="144">
        <v>1000000</v>
      </c>
      <c r="J216" s="144">
        <v>1000000</v>
      </c>
      <c r="K216" s="144">
        <v>1000000</v>
      </c>
      <c r="L216" s="144">
        <v>1000000</v>
      </c>
      <c r="M216" s="144">
        <v>1000000</v>
      </c>
      <c r="N216" s="144">
        <v>1000000</v>
      </c>
      <c r="O216" s="91">
        <f t="shared" si="11"/>
        <v>1000000</v>
      </c>
      <c r="P216" s="91">
        <f t="shared" si="12"/>
        <v>1000000</v>
      </c>
    </row>
    <row r="217" spans="2:16">
      <c r="B217" s="9">
        <v>209</v>
      </c>
      <c r="C217" s="9" t="s">
        <v>429</v>
      </c>
      <c r="D217" s="89" t="s">
        <v>581</v>
      </c>
      <c r="E217" s="509" t="s">
        <v>1785</v>
      </c>
      <c r="F217" s="144">
        <v>1000000</v>
      </c>
      <c r="G217" s="91"/>
      <c r="H217" s="91"/>
      <c r="I217" s="144">
        <v>390</v>
      </c>
      <c r="J217" s="144">
        <v>1000000</v>
      </c>
      <c r="K217" s="144">
        <v>1000000</v>
      </c>
      <c r="L217" s="144">
        <v>1000000</v>
      </c>
      <c r="M217" s="144">
        <v>1000000</v>
      </c>
      <c r="N217" s="144">
        <v>1000000</v>
      </c>
      <c r="O217" s="91">
        <f t="shared" si="11"/>
        <v>1000000</v>
      </c>
      <c r="P217" s="91">
        <f t="shared" si="12"/>
        <v>1000000</v>
      </c>
    </row>
    <row r="218" spans="2:16">
      <c r="B218" s="9">
        <v>210</v>
      </c>
      <c r="C218" s="9" t="s">
        <v>430</v>
      </c>
      <c r="D218" s="89" t="s">
        <v>581</v>
      </c>
      <c r="E218" s="509" t="s">
        <v>1906</v>
      </c>
      <c r="F218" s="144">
        <v>1000000</v>
      </c>
      <c r="G218" s="91"/>
      <c r="H218" s="91"/>
      <c r="I218" s="144">
        <v>694</v>
      </c>
      <c r="J218" s="144">
        <v>1000000</v>
      </c>
      <c r="K218" s="144">
        <v>1000000</v>
      </c>
      <c r="L218" s="144">
        <v>1000000</v>
      </c>
      <c r="M218" s="144">
        <v>1000000</v>
      </c>
      <c r="N218" s="144">
        <v>1000000</v>
      </c>
      <c r="O218" s="91">
        <f t="shared" si="11"/>
        <v>1000000</v>
      </c>
      <c r="P218" s="91">
        <f t="shared" si="12"/>
        <v>1000000</v>
      </c>
    </row>
    <row r="219" spans="2:16">
      <c r="B219" s="9">
        <v>211</v>
      </c>
      <c r="C219" s="9" t="s">
        <v>431</v>
      </c>
      <c r="D219" s="89" t="s">
        <v>581</v>
      </c>
      <c r="E219" s="509" t="s">
        <v>1631</v>
      </c>
      <c r="F219" s="144">
        <v>77018.649469428274</v>
      </c>
      <c r="G219" s="91"/>
      <c r="H219" s="91"/>
      <c r="I219" s="91">
        <v>6.9405917310745977</v>
      </c>
      <c r="J219" s="144">
        <v>52257.200403827344</v>
      </c>
      <c r="K219" s="144">
        <v>76997.08905023626</v>
      </c>
      <c r="L219" s="144">
        <v>77018.649469428274</v>
      </c>
      <c r="M219" s="144">
        <v>471906.49008550192</v>
      </c>
      <c r="N219" s="144">
        <v>350187.07193839754</v>
      </c>
      <c r="O219" s="91">
        <f t="shared" si="11"/>
        <v>76997.08905023626</v>
      </c>
      <c r="P219" s="91">
        <f t="shared" si="12"/>
        <v>350187.07193839754</v>
      </c>
    </row>
    <row r="220" spans="2:16">
      <c r="B220" s="9">
        <v>212</v>
      </c>
      <c r="C220" s="9" t="s">
        <v>432</v>
      </c>
      <c r="D220" s="89" t="s">
        <v>581</v>
      </c>
      <c r="E220" s="509" t="s">
        <v>1935</v>
      </c>
      <c r="F220" s="91"/>
      <c r="G220" s="91"/>
      <c r="H220" s="91"/>
      <c r="I220" s="91"/>
      <c r="J220" s="91"/>
      <c r="K220" s="91"/>
      <c r="L220" s="91"/>
      <c r="M220" s="91"/>
      <c r="N220" s="91"/>
      <c r="O220" s="91">
        <f t="shared" si="11"/>
        <v>0</v>
      </c>
      <c r="P220" s="91">
        <f t="shared" si="12"/>
        <v>0</v>
      </c>
    </row>
    <row r="221" spans="2:16">
      <c r="B221" s="9">
        <v>213</v>
      </c>
      <c r="C221" s="9" t="s">
        <v>433</v>
      </c>
      <c r="D221" s="89" t="s">
        <v>581</v>
      </c>
      <c r="E221" s="509" t="s">
        <v>1801</v>
      </c>
      <c r="F221" s="91"/>
      <c r="G221" s="91"/>
      <c r="H221" s="91"/>
      <c r="I221" s="91"/>
      <c r="J221" s="91"/>
      <c r="K221" s="91"/>
      <c r="L221" s="91"/>
      <c r="M221" s="91"/>
      <c r="N221" s="91"/>
      <c r="O221" s="91">
        <f t="shared" si="11"/>
        <v>0</v>
      </c>
      <c r="P221" s="91">
        <f t="shared" si="12"/>
        <v>0</v>
      </c>
    </row>
    <row r="222" spans="2:16">
      <c r="B222" s="9">
        <v>214</v>
      </c>
      <c r="C222" s="9" t="s">
        <v>434</v>
      </c>
      <c r="D222" s="89" t="s">
        <v>581</v>
      </c>
      <c r="E222" s="509" t="s">
        <v>1712</v>
      </c>
      <c r="F222" s="144">
        <v>7005.9073811037451</v>
      </c>
      <c r="G222" s="144"/>
      <c r="H222" s="144"/>
      <c r="I222" s="144">
        <v>36.142788967575534</v>
      </c>
      <c r="J222" s="144">
        <v>4801.106174862688</v>
      </c>
      <c r="K222" s="144">
        <v>7005.9073811037451</v>
      </c>
      <c r="L222" s="144">
        <v>7005.9073811037451</v>
      </c>
      <c r="M222" s="144">
        <v>43239.78978402607</v>
      </c>
      <c r="N222" s="144">
        <v>32044.30222877931</v>
      </c>
      <c r="O222" s="91">
        <f t="shared" si="11"/>
        <v>7005.9073811037451</v>
      </c>
      <c r="P222" s="91">
        <f t="shared" si="12"/>
        <v>32044.30222877931</v>
      </c>
    </row>
    <row r="223" spans="2:16" ht="30">
      <c r="B223" s="9">
        <v>215</v>
      </c>
      <c r="C223" s="89" t="s">
        <v>435</v>
      </c>
      <c r="D223" s="89" t="s">
        <v>581</v>
      </c>
      <c r="E223" s="508" t="s">
        <v>1717</v>
      </c>
      <c r="F223" s="144">
        <v>840.7088857324494</v>
      </c>
      <c r="G223" s="135"/>
      <c r="H223" s="144"/>
      <c r="I223" s="91">
        <v>1.4861484011196651</v>
      </c>
      <c r="J223" s="144">
        <v>576.13274098352258</v>
      </c>
      <c r="K223" s="144">
        <v>840.7088857324494</v>
      </c>
      <c r="L223" s="144">
        <v>840.7088857324494</v>
      </c>
      <c r="M223" s="144">
        <v>5188.7747740831282</v>
      </c>
      <c r="N223" s="144">
        <v>3845.316267453517</v>
      </c>
      <c r="O223" s="144">
        <f t="shared" si="11"/>
        <v>840.7088857324494</v>
      </c>
      <c r="P223" s="144">
        <f t="shared" si="12"/>
        <v>3845.316267453517</v>
      </c>
    </row>
    <row r="224" spans="2:16">
      <c r="B224" s="9">
        <v>216</v>
      </c>
      <c r="C224" s="89" t="s">
        <v>436</v>
      </c>
      <c r="D224" s="89" t="s">
        <v>581</v>
      </c>
      <c r="E224" s="508" t="s">
        <v>1809</v>
      </c>
      <c r="F224" s="144">
        <v>467.06049207358308</v>
      </c>
      <c r="G224" s="135"/>
      <c r="H224" s="144"/>
      <c r="I224" s="144">
        <v>302.82846298938591</v>
      </c>
      <c r="J224" s="144">
        <v>320.07374499084585</v>
      </c>
      <c r="K224" s="144">
        <v>467.06049207358308</v>
      </c>
      <c r="L224" s="144">
        <v>467.06049207358308</v>
      </c>
      <c r="M224" s="144">
        <v>2882.6526522684048</v>
      </c>
      <c r="N224" s="144">
        <v>2136.2868152519541</v>
      </c>
      <c r="O224" s="144">
        <f t="shared" si="11"/>
        <v>467.06049207358308</v>
      </c>
      <c r="P224" s="144">
        <f t="shared" si="12"/>
        <v>2136.2868152519541</v>
      </c>
    </row>
    <row r="225" spans="2:16">
      <c r="B225" s="9">
        <v>217</v>
      </c>
      <c r="C225" s="89" t="s">
        <v>437</v>
      </c>
      <c r="D225" s="89" t="s">
        <v>581</v>
      </c>
      <c r="E225" s="508" t="s">
        <v>1810</v>
      </c>
      <c r="F225" s="144">
        <v>467.06049207358308</v>
      </c>
      <c r="G225" s="135"/>
      <c r="H225" s="144"/>
      <c r="I225" s="144">
        <v>302.82846298938591</v>
      </c>
      <c r="J225" s="144">
        <v>320.07374499084585</v>
      </c>
      <c r="K225" s="144">
        <v>467.06049207358308</v>
      </c>
      <c r="L225" s="144">
        <v>467.06049207358308</v>
      </c>
      <c r="M225" s="144">
        <v>2882.6526522684048</v>
      </c>
      <c r="N225" s="144">
        <v>2136.2868152519541</v>
      </c>
      <c r="O225" s="144">
        <f t="shared" si="11"/>
        <v>467.06049207358308</v>
      </c>
      <c r="P225" s="144">
        <f t="shared" si="12"/>
        <v>2136.2868152519541</v>
      </c>
    </row>
    <row r="226" spans="2:16">
      <c r="B226" s="9">
        <v>218</v>
      </c>
      <c r="C226" s="89" t="s">
        <v>438</v>
      </c>
      <c r="D226" s="89" t="s">
        <v>581</v>
      </c>
      <c r="E226" s="508" t="s">
        <v>1883</v>
      </c>
      <c r="F226" s="144">
        <v>934.12098414716615</v>
      </c>
      <c r="G226" s="135"/>
      <c r="H226" s="144"/>
      <c r="I226" s="144">
        <v>605.65692597877182</v>
      </c>
      <c r="J226" s="144">
        <v>640.14748998169171</v>
      </c>
      <c r="K226" s="144">
        <v>934.12098414716615</v>
      </c>
      <c r="L226" s="144">
        <v>934.12098414716615</v>
      </c>
      <c r="M226" s="144">
        <v>5765.3053045368097</v>
      </c>
      <c r="N226" s="144">
        <v>4272.5736305039081</v>
      </c>
      <c r="O226" s="144">
        <f t="shared" si="11"/>
        <v>934.12098414716615</v>
      </c>
      <c r="P226" s="144">
        <f t="shared" si="12"/>
        <v>4272.5736305039081</v>
      </c>
    </row>
    <row r="227" spans="2:16">
      <c r="B227" s="9">
        <v>219</v>
      </c>
      <c r="C227" s="89" t="s">
        <v>439</v>
      </c>
      <c r="D227" s="89" t="s">
        <v>581</v>
      </c>
      <c r="E227" s="508" t="s">
        <v>1886</v>
      </c>
      <c r="F227" s="144">
        <v>934.12098414716615</v>
      </c>
      <c r="G227" s="135"/>
      <c r="H227" s="144"/>
      <c r="I227" s="144">
        <v>605.65692597877182</v>
      </c>
      <c r="J227" s="144">
        <v>640.14748998169171</v>
      </c>
      <c r="K227" s="144">
        <v>934.12098414716615</v>
      </c>
      <c r="L227" s="144">
        <v>934.12098414716615</v>
      </c>
      <c r="M227" s="144">
        <v>5765.3053045368097</v>
      </c>
      <c r="N227" s="144">
        <v>4272.5736305039081</v>
      </c>
      <c r="O227" s="144">
        <f t="shared" si="11"/>
        <v>934.12098414716615</v>
      </c>
      <c r="P227" s="144">
        <f t="shared" si="12"/>
        <v>4272.5736305039081</v>
      </c>
    </row>
    <row r="228" spans="2:16">
      <c r="B228" s="9">
        <v>220</v>
      </c>
      <c r="C228" s="89" t="s">
        <v>440</v>
      </c>
      <c r="D228" s="89" t="s">
        <v>583</v>
      </c>
      <c r="E228" s="508" t="s">
        <v>1832</v>
      </c>
      <c r="F228" s="144">
        <v>23353.024603679154</v>
      </c>
      <c r="G228" s="135"/>
      <c r="H228" s="144"/>
      <c r="I228" s="144">
        <v>15141.423149469296</v>
      </c>
      <c r="J228" s="144">
        <v>16003.687249542296</v>
      </c>
      <c r="K228" s="144">
        <v>23353.024603679154</v>
      </c>
      <c r="L228" s="144">
        <v>23353.024603679154</v>
      </c>
      <c r="M228" s="144">
        <v>144132.63261342025</v>
      </c>
      <c r="N228" s="144">
        <v>106814.3407625977</v>
      </c>
      <c r="O228" s="144">
        <f t="shared" si="11"/>
        <v>23353.024603679154</v>
      </c>
      <c r="P228" s="144">
        <f t="shared" si="12"/>
        <v>106814.3407625977</v>
      </c>
    </row>
    <row r="229" spans="2:16">
      <c r="B229" s="9">
        <v>221</v>
      </c>
      <c r="C229" s="89" t="s">
        <v>441</v>
      </c>
      <c r="D229" s="89" t="s">
        <v>581</v>
      </c>
      <c r="E229" s="508" t="s">
        <v>1869</v>
      </c>
      <c r="F229" s="144">
        <v>70059.073811037451</v>
      </c>
      <c r="G229" s="135"/>
      <c r="H229" s="144"/>
      <c r="I229" s="144">
        <v>57.157189216235849</v>
      </c>
      <c r="J229" s="144">
        <v>48011.061748626875</v>
      </c>
      <c r="K229" s="144">
        <v>70059.073811037451</v>
      </c>
      <c r="L229" s="144">
        <v>70059.073811037451</v>
      </c>
      <c r="M229" s="144">
        <v>432397.8978402607</v>
      </c>
      <c r="N229" s="144">
        <v>320443.02228779305</v>
      </c>
      <c r="O229" s="144">
        <f t="shared" si="11"/>
        <v>70059.073811037451</v>
      </c>
      <c r="P229" s="144">
        <f t="shared" si="12"/>
        <v>320443.02228779305</v>
      </c>
    </row>
    <row r="230" spans="2:16">
      <c r="B230" s="9">
        <v>222</v>
      </c>
      <c r="C230" s="89" t="s">
        <v>442</v>
      </c>
      <c r="D230" s="89" t="s">
        <v>581</v>
      </c>
      <c r="E230" s="508" t="s">
        <v>1757</v>
      </c>
      <c r="F230" s="144">
        <v>11676.512301839577</v>
      </c>
      <c r="G230" s="135"/>
      <c r="H230" s="144"/>
      <c r="I230" s="91">
        <v>2.0556675805625511</v>
      </c>
      <c r="J230" s="144">
        <v>8001.8436247711479</v>
      </c>
      <c r="K230" s="144">
        <v>11676.512301839577</v>
      </c>
      <c r="L230" s="144">
        <v>11676.512301839577</v>
      </c>
      <c r="M230" s="144">
        <v>72066.316306710127</v>
      </c>
      <c r="N230" s="144">
        <v>53407.170381298849</v>
      </c>
      <c r="O230" s="144">
        <f t="shared" si="11"/>
        <v>11676.512301839577</v>
      </c>
      <c r="P230" s="144">
        <f t="shared" si="12"/>
        <v>53407.170381298849</v>
      </c>
    </row>
    <row r="231" spans="2:16">
      <c r="B231" s="9">
        <v>223</v>
      </c>
      <c r="C231" s="89" t="s">
        <v>443</v>
      </c>
      <c r="D231" s="89" t="s">
        <v>581</v>
      </c>
      <c r="E231" s="508" t="s">
        <v>1864</v>
      </c>
      <c r="F231" s="144">
        <v>467.06049207358308</v>
      </c>
      <c r="G231" s="135"/>
      <c r="H231" s="144"/>
      <c r="I231" s="91">
        <v>9.2135659169585424E-2</v>
      </c>
      <c r="J231" s="144">
        <v>320.07374499084585</v>
      </c>
      <c r="K231" s="144">
        <v>467.06049207358308</v>
      </c>
      <c r="L231" s="144">
        <v>467.06049207358308</v>
      </c>
      <c r="M231" s="144">
        <v>2882.6526522684048</v>
      </c>
      <c r="N231" s="144">
        <v>2136.2868152519541</v>
      </c>
      <c r="O231" s="144">
        <f t="shared" si="11"/>
        <v>467.06049207358308</v>
      </c>
      <c r="P231" s="144">
        <f t="shared" si="12"/>
        <v>2136.2868152519541</v>
      </c>
    </row>
    <row r="232" spans="2:16">
      <c r="B232" s="9">
        <v>224</v>
      </c>
      <c r="C232" s="89" t="s">
        <v>444</v>
      </c>
      <c r="D232" s="89" t="s">
        <v>581</v>
      </c>
      <c r="E232" s="508" t="s">
        <v>1909</v>
      </c>
      <c r="F232" s="144">
        <v>1167.6512301839575</v>
      </c>
      <c r="G232" s="135"/>
      <c r="H232" s="144"/>
      <c r="I232" s="91">
        <v>2.6159931213813077</v>
      </c>
      <c r="J232" s="144">
        <v>800.18436247711475</v>
      </c>
      <c r="K232" s="144">
        <v>1167.6512301839575</v>
      </c>
      <c r="L232" s="144">
        <v>1167.6512301839575</v>
      </c>
      <c r="M232" s="144">
        <v>7206.6316306710114</v>
      </c>
      <c r="N232" s="144">
        <v>5340.7170381298856</v>
      </c>
      <c r="O232" s="144">
        <f t="shared" si="11"/>
        <v>1167.6512301839575</v>
      </c>
      <c r="P232" s="144">
        <f t="shared" si="12"/>
        <v>5340.7170381298856</v>
      </c>
    </row>
    <row r="233" spans="2:16">
      <c r="B233" s="9">
        <v>225</v>
      </c>
      <c r="C233" s="89" t="s">
        <v>445</v>
      </c>
      <c r="D233" s="89" t="s">
        <v>581</v>
      </c>
      <c r="E233" s="508" t="s">
        <v>1939</v>
      </c>
      <c r="F233" s="144">
        <v>233.53024603679154</v>
      </c>
      <c r="G233" s="135"/>
      <c r="H233" s="144"/>
      <c r="I233" s="91">
        <v>2.4061522130449368E-2</v>
      </c>
      <c r="J233" s="144">
        <v>160.03687249542293</v>
      </c>
      <c r="K233" s="144">
        <v>233.53024603679154</v>
      </c>
      <c r="L233" s="144">
        <v>233.53024603679154</v>
      </c>
      <c r="M233" s="144">
        <v>1441.3263261342024</v>
      </c>
      <c r="N233" s="144">
        <v>1068.143407625977</v>
      </c>
      <c r="O233" s="144">
        <f t="shared" si="11"/>
        <v>233.53024603679154</v>
      </c>
      <c r="P233" s="144">
        <f t="shared" si="12"/>
        <v>1068.143407625977</v>
      </c>
    </row>
    <row r="234" spans="2:16">
      <c r="B234" s="9">
        <v>226</v>
      </c>
      <c r="C234" s="89" t="s">
        <v>446</v>
      </c>
      <c r="D234" s="89" t="s">
        <v>581</v>
      </c>
      <c r="E234" s="508" t="s">
        <v>1726</v>
      </c>
      <c r="F234" s="135"/>
      <c r="G234" s="135"/>
      <c r="H234" s="144"/>
      <c r="I234" s="144"/>
      <c r="J234" s="144"/>
      <c r="K234" s="144"/>
      <c r="L234" s="144"/>
      <c r="M234" s="144"/>
      <c r="N234" s="144"/>
      <c r="O234" s="144"/>
      <c r="P234" s="144"/>
    </row>
    <row r="235" spans="2:16">
      <c r="B235" s="9">
        <v>227</v>
      </c>
      <c r="C235" s="89" t="s">
        <v>447</v>
      </c>
      <c r="D235" s="89" t="s">
        <v>581</v>
      </c>
      <c r="E235" s="508" t="s">
        <v>1779</v>
      </c>
      <c r="F235" s="135"/>
      <c r="G235" s="135"/>
      <c r="H235" s="144"/>
      <c r="I235" s="144"/>
      <c r="J235" s="144"/>
      <c r="K235" s="144"/>
      <c r="L235" s="144"/>
      <c r="M235" s="144"/>
      <c r="N235" s="144"/>
      <c r="O235" s="144"/>
      <c r="P235" s="144"/>
    </row>
    <row r="236" spans="2:16">
      <c r="B236" s="9">
        <v>228</v>
      </c>
      <c r="C236" s="89" t="s">
        <v>449</v>
      </c>
      <c r="D236" s="89">
        <v>3</v>
      </c>
      <c r="E236" s="508" t="s">
        <v>1786</v>
      </c>
      <c r="F236" s="135"/>
      <c r="G236" s="135"/>
      <c r="H236" s="144"/>
      <c r="I236" s="144"/>
      <c r="J236" s="144"/>
      <c r="K236" s="144"/>
      <c r="L236" s="144"/>
      <c r="M236" s="144"/>
      <c r="N236" s="144"/>
      <c r="O236" s="144"/>
      <c r="P236" s="144"/>
    </row>
    <row r="237" spans="2:16">
      <c r="B237" s="9">
        <v>229</v>
      </c>
      <c r="C237" s="89" t="s">
        <v>450</v>
      </c>
      <c r="D237" s="89" t="s">
        <v>581</v>
      </c>
      <c r="E237" s="508" t="s">
        <v>1915</v>
      </c>
      <c r="F237" s="135"/>
      <c r="G237" s="135"/>
      <c r="H237" s="144"/>
      <c r="I237" s="144"/>
      <c r="J237" s="144"/>
      <c r="K237" s="144"/>
      <c r="L237" s="144"/>
      <c r="M237" s="144"/>
      <c r="N237" s="144"/>
      <c r="O237" s="144"/>
      <c r="P237" s="144"/>
    </row>
    <row r="238" spans="2:16" ht="30">
      <c r="B238" s="9">
        <v>230</v>
      </c>
      <c r="C238" s="89" t="s">
        <v>451</v>
      </c>
      <c r="D238" s="89" t="s">
        <v>581</v>
      </c>
      <c r="E238" s="508" t="s">
        <v>1819</v>
      </c>
      <c r="F238" s="135"/>
      <c r="G238" s="135"/>
      <c r="H238" s="144"/>
      <c r="I238" s="144"/>
      <c r="J238" s="144"/>
      <c r="K238" s="144"/>
      <c r="L238" s="144"/>
      <c r="M238" s="144"/>
      <c r="N238" s="144"/>
      <c r="O238" s="144"/>
      <c r="P238" s="144"/>
    </row>
    <row r="239" spans="2:16">
      <c r="B239" s="9">
        <v>231</v>
      </c>
      <c r="C239" s="89" t="s">
        <v>452</v>
      </c>
      <c r="D239" s="89" t="s">
        <v>581</v>
      </c>
      <c r="E239" s="508" t="s">
        <v>1822</v>
      </c>
      <c r="F239" s="135"/>
      <c r="G239" s="135"/>
      <c r="H239" s="144"/>
      <c r="I239" s="144"/>
      <c r="J239" s="144"/>
      <c r="K239" s="144"/>
      <c r="L239" s="144"/>
      <c r="M239" s="144"/>
      <c r="N239" s="144"/>
      <c r="O239" s="144"/>
      <c r="P239" s="144"/>
    </row>
    <row r="240" spans="2:16">
      <c r="B240" s="9">
        <v>232</v>
      </c>
      <c r="C240" s="89" t="s">
        <v>453</v>
      </c>
      <c r="D240" s="89" t="s">
        <v>581</v>
      </c>
      <c r="E240" s="508" t="s">
        <v>1882</v>
      </c>
      <c r="F240" s="135"/>
      <c r="G240" s="135"/>
      <c r="H240" s="144"/>
      <c r="I240" s="144"/>
      <c r="J240" s="144"/>
      <c r="K240" s="144"/>
      <c r="L240" s="144"/>
      <c r="M240" s="144"/>
      <c r="N240" s="144"/>
      <c r="O240" s="144"/>
      <c r="P240" s="144"/>
    </row>
    <row r="241" spans="2:16">
      <c r="B241" s="9">
        <v>233</v>
      </c>
      <c r="C241" s="89" t="s">
        <v>454</v>
      </c>
      <c r="D241" s="89" t="s">
        <v>581</v>
      </c>
      <c r="E241" s="508" t="s">
        <v>1894</v>
      </c>
      <c r="F241" s="135"/>
      <c r="G241" s="135"/>
      <c r="H241" s="144"/>
      <c r="I241" s="144"/>
      <c r="J241" s="144"/>
      <c r="K241" s="144"/>
      <c r="L241" s="144"/>
      <c r="M241" s="144"/>
      <c r="N241" s="144"/>
      <c r="O241" s="144"/>
      <c r="P241" s="144"/>
    </row>
    <row r="242" spans="2:16">
      <c r="B242" s="9">
        <v>234</v>
      </c>
      <c r="C242" s="89" t="s">
        <v>455</v>
      </c>
      <c r="D242" s="89" t="s">
        <v>581</v>
      </c>
      <c r="E242" s="508" t="s">
        <v>1917</v>
      </c>
      <c r="F242" s="135"/>
      <c r="G242" s="135"/>
      <c r="H242" s="144"/>
      <c r="I242" s="144"/>
      <c r="J242" s="144"/>
      <c r="K242" s="144"/>
      <c r="L242" s="144"/>
      <c r="M242" s="144"/>
      <c r="N242" s="144"/>
      <c r="O242" s="144"/>
      <c r="P242" s="144"/>
    </row>
    <row r="243" spans="2:16">
      <c r="B243" s="9">
        <v>235</v>
      </c>
      <c r="C243" s="89" t="s">
        <v>456</v>
      </c>
      <c r="D243" s="89" t="s">
        <v>581</v>
      </c>
      <c r="E243" s="508" t="s">
        <v>1936</v>
      </c>
      <c r="F243" s="135"/>
      <c r="G243" s="135"/>
      <c r="H243" s="144"/>
      <c r="I243" s="144"/>
      <c r="J243" s="144"/>
      <c r="K243" s="144"/>
      <c r="L243" s="144"/>
      <c r="M243" s="144"/>
      <c r="N243" s="144"/>
      <c r="O243" s="144"/>
      <c r="P243" s="144"/>
    </row>
    <row r="244" spans="2:16">
      <c r="B244" s="9">
        <v>237</v>
      </c>
      <c r="C244" s="89" t="s">
        <v>457</v>
      </c>
      <c r="D244" s="89" t="s">
        <v>581</v>
      </c>
      <c r="E244" s="508" t="s">
        <v>1824</v>
      </c>
      <c r="F244" s="144">
        <v>107012.7638395111</v>
      </c>
      <c r="G244" s="135"/>
      <c r="H244" s="144"/>
      <c r="I244" s="144">
        <v>1298.6077398526363</v>
      </c>
      <c r="J244" s="144">
        <v>1298.9078494507155</v>
      </c>
      <c r="K244" s="144">
        <v>30183.752371753169</v>
      </c>
      <c r="L244" s="144">
        <v>107012.7638395111</v>
      </c>
      <c r="M244" s="144">
        <v>5490.3710439576207</v>
      </c>
      <c r="N244" s="144">
        <v>17581.015749943854</v>
      </c>
      <c r="O244" s="144">
        <f>MIN(K244,L244,M244,N244)</f>
        <v>5490.3710439576207</v>
      </c>
      <c r="P244" s="144">
        <f t="shared" si="12"/>
        <v>5490.3710439576207</v>
      </c>
    </row>
    <row r="245" spans="2:16" s="370" customFormat="1">
      <c r="B245" s="384">
        <v>238</v>
      </c>
      <c r="C245" s="384" t="s">
        <v>1546</v>
      </c>
      <c r="D245" s="393">
        <v>3</v>
      </c>
      <c r="E245" s="93" t="s">
        <v>1798</v>
      </c>
      <c r="F245" s="376">
        <v>467.06049207358308</v>
      </c>
      <c r="G245" s="144"/>
      <c r="H245" s="144"/>
      <c r="I245" s="377">
        <v>0.25491396117994902</v>
      </c>
      <c r="J245" s="376">
        <v>320.07374499084585</v>
      </c>
      <c r="K245" s="376">
        <v>467.06049207358308</v>
      </c>
      <c r="L245" s="376">
        <v>467.06049207358308</v>
      </c>
      <c r="M245" s="376">
        <v>2882.6526522684048</v>
      </c>
      <c r="N245" s="376">
        <v>2136.2868152519541</v>
      </c>
      <c r="O245" s="144">
        <f>MIN(K245,L245,M245,N245)</f>
        <v>467.06049207358308</v>
      </c>
      <c r="P245" s="144">
        <f t="shared" si="12"/>
        <v>2136.2868152519541</v>
      </c>
    </row>
    <row r="246" spans="2:16" s="370" customFormat="1">
      <c r="B246" s="384">
        <v>239</v>
      </c>
      <c r="C246" s="384" t="s">
        <v>1547</v>
      </c>
      <c r="D246" s="387" t="s">
        <v>581</v>
      </c>
      <c r="E246" s="556" t="s">
        <v>1791</v>
      </c>
      <c r="F246" s="144"/>
      <c r="G246" s="373"/>
      <c r="H246" s="144"/>
      <c r="I246" s="144"/>
      <c r="J246" s="144"/>
      <c r="K246" s="144"/>
      <c r="L246" s="144"/>
      <c r="M246" s="144"/>
      <c r="N246" s="144"/>
      <c r="O246" s="144"/>
      <c r="P246" s="144"/>
    </row>
    <row r="247" spans="2:16" s="370" customFormat="1">
      <c r="B247" s="384">
        <v>240</v>
      </c>
      <c r="C247" s="384" t="s">
        <v>1548</v>
      </c>
      <c r="D247" s="387" t="s">
        <v>581</v>
      </c>
      <c r="E247" s="556" t="s">
        <v>1859</v>
      </c>
      <c r="F247" s="144"/>
      <c r="G247" s="373"/>
      <c r="H247" s="144"/>
      <c r="I247" s="144"/>
      <c r="J247" s="144"/>
      <c r="K247" s="144"/>
      <c r="L247" s="144"/>
      <c r="M247" s="144"/>
      <c r="N247" s="144"/>
      <c r="O247" s="144"/>
      <c r="P247" s="144"/>
    </row>
    <row r="248" spans="2:16" s="370" customFormat="1">
      <c r="B248" s="384">
        <v>241</v>
      </c>
      <c r="C248" s="384" t="s">
        <v>1549</v>
      </c>
      <c r="D248" s="393">
        <v>1</v>
      </c>
      <c r="E248" s="556" t="s">
        <v>1582</v>
      </c>
      <c r="F248" s="377">
        <v>12.417182227402934</v>
      </c>
      <c r="G248" s="377"/>
      <c r="H248" s="377"/>
      <c r="I248" s="377">
        <v>1.1052830069966652E-2</v>
      </c>
      <c r="J248" s="377">
        <v>8.2115221249187562E-2</v>
      </c>
      <c r="K248" s="377">
        <v>2.1786133878459477</v>
      </c>
      <c r="L248" s="377">
        <v>12.417182227402934</v>
      </c>
      <c r="M248" s="377"/>
      <c r="N248" s="377">
        <v>0.53570952256794679</v>
      </c>
      <c r="O248" s="377">
        <v>1.7122100932471176</v>
      </c>
      <c r="P248" s="91">
        <f t="shared" si="12"/>
        <v>0.53570952256794679</v>
      </c>
    </row>
    <row r="249" spans="2:16" s="370" customFormat="1">
      <c r="B249" s="384">
        <v>242</v>
      </c>
      <c r="C249" s="384" t="s">
        <v>1550</v>
      </c>
      <c r="D249" s="384" t="s">
        <v>581</v>
      </c>
      <c r="E249" s="556" t="s">
        <v>1830</v>
      </c>
      <c r="F249" s="144"/>
      <c r="G249" s="373"/>
      <c r="H249" s="144"/>
      <c r="I249" s="144"/>
      <c r="J249" s="144"/>
      <c r="K249" s="144"/>
      <c r="L249" s="144"/>
      <c r="M249" s="144"/>
      <c r="N249" s="144"/>
      <c r="O249" s="144"/>
      <c r="P249" s="144"/>
    </row>
    <row r="250" spans="2:16" s="381" customFormat="1">
      <c r="B250" s="384">
        <v>243</v>
      </c>
      <c r="C250" s="384" t="s">
        <v>1572</v>
      </c>
      <c r="D250" s="384" t="s">
        <v>581</v>
      </c>
      <c r="E250" s="93" t="s">
        <v>1655</v>
      </c>
      <c r="F250" s="144"/>
      <c r="G250" s="392"/>
      <c r="H250" s="144"/>
      <c r="I250" s="144"/>
      <c r="J250" s="144"/>
      <c r="K250" s="144"/>
      <c r="L250" s="144"/>
      <c r="M250" s="144"/>
      <c r="N250" s="144"/>
      <c r="O250" s="144"/>
      <c r="P250" s="144"/>
    </row>
    <row r="251" spans="2:16" s="426" customFormat="1">
      <c r="B251" s="394">
        <v>244</v>
      </c>
      <c r="C251" s="390" t="s">
        <v>1583</v>
      </c>
      <c r="D251" s="384" t="s">
        <v>581</v>
      </c>
      <c r="E251" s="508" t="s">
        <v>1592</v>
      </c>
      <c r="F251" s="144"/>
      <c r="G251" s="392"/>
      <c r="H251" s="144"/>
      <c r="I251" s="144"/>
      <c r="J251" s="144"/>
      <c r="K251" s="144"/>
      <c r="L251" s="144"/>
      <c r="M251" s="144"/>
      <c r="N251" s="144"/>
      <c r="O251" s="144"/>
      <c r="P251" s="144"/>
    </row>
    <row r="252" spans="2:16" s="426" customFormat="1">
      <c r="B252" s="394">
        <v>245</v>
      </c>
      <c r="C252" s="390" t="s">
        <v>1584</v>
      </c>
      <c r="D252" s="384" t="s">
        <v>581</v>
      </c>
      <c r="E252" s="508" t="s">
        <v>1638</v>
      </c>
      <c r="F252" s="144"/>
      <c r="G252" s="392"/>
      <c r="H252" s="144"/>
      <c r="I252" s="144"/>
      <c r="J252" s="144"/>
      <c r="K252" s="144"/>
      <c r="L252" s="144"/>
      <c r="M252" s="144"/>
      <c r="N252" s="144"/>
      <c r="O252" s="144"/>
      <c r="P252" s="144"/>
    </row>
    <row r="253" spans="2:16" s="426" customFormat="1">
      <c r="B253" s="394">
        <v>246</v>
      </c>
      <c r="C253" s="390" t="s">
        <v>1585</v>
      </c>
      <c r="D253" s="384" t="s">
        <v>581</v>
      </c>
      <c r="E253" s="508" t="s">
        <v>1683</v>
      </c>
      <c r="F253" s="144"/>
      <c r="G253" s="392"/>
      <c r="H253" s="144"/>
      <c r="I253" s="144"/>
      <c r="J253" s="144"/>
      <c r="K253" s="144"/>
      <c r="L253" s="144"/>
      <c r="M253" s="144"/>
      <c r="N253" s="144"/>
      <c r="O253" s="144"/>
      <c r="P253" s="144"/>
    </row>
    <row r="254" spans="2:16" s="426" customFormat="1">
      <c r="B254" s="394">
        <v>247</v>
      </c>
      <c r="C254" s="390" t="s">
        <v>1586</v>
      </c>
      <c r="D254" s="384" t="s">
        <v>581</v>
      </c>
      <c r="E254" s="508" t="s">
        <v>1626</v>
      </c>
      <c r="F254" s="144"/>
      <c r="G254" s="392"/>
      <c r="H254" s="144"/>
      <c r="I254" s="144"/>
      <c r="J254" s="144"/>
      <c r="K254" s="144"/>
      <c r="L254" s="144"/>
      <c r="M254" s="144"/>
      <c r="N254" s="144"/>
      <c r="O254" s="144"/>
      <c r="P254" s="144"/>
    </row>
    <row r="255" spans="2:16" s="426" customFormat="1">
      <c r="B255" s="394">
        <v>248</v>
      </c>
      <c r="C255" s="390" t="s">
        <v>1587</v>
      </c>
      <c r="D255" s="384" t="s">
        <v>581</v>
      </c>
      <c r="E255" s="508" t="s">
        <v>1594</v>
      </c>
      <c r="F255" s="144"/>
      <c r="G255" s="392"/>
      <c r="H255" s="144"/>
      <c r="I255" s="144"/>
      <c r="J255" s="144"/>
      <c r="K255" s="144"/>
      <c r="L255" s="144"/>
      <c r="M255" s="144"/>
      <c r="N255" s="144"/>
      <c r="O255" s="144"/>
      <c r="P255" s="144"/>
    </row>
    <row r="256" spans="2:16" s="426" customFormat="1">
      <c r="B256" s="394">
        <v>249</v>
      </c>
      <c r="C256" s="390" t="s">
        <v>1588</v>
      </c>
      <c r="D256" s="384" t="s">
        <v>581</v>
      </c>
      <c r="E256" s="508" t="s">
        <v>1596</v>
      </c>
      <c r="F256" s="144"/>
      <c r="G256" s="392"/>
      <c r="H256" s="144"/>
      <c r="I256" s="144"/>
      <c r="J256" s="144"/>
      <c r="K256" s="144"/>
      <c r="L256" s="144"/>
      <c r="M256" s="144"/>
      <c r="N256" s="144"/>
      <c r="O256" s="144"/>
      <c r="P256" s="144"/>
    </row>
    <row r="257" spans="2:16" s="426" customFormat="1">
      <c r="B257" s="394">
        <v>250</v>
      </c>
      <c r="C257" s="390" t="s">
        <v>1589</v>
      </c>
      <c r="D257" s="384" t="s">
        <v>581</v>
      </c>
      <c r="E257" s="508" t="s">
        <v>1687</v>
      </c>
      <c r="F257" s="144"/>
      <c r="G257" s="392"/>
      <c r="H257" s="144"/>
      <c r="I257" s="144"/>
      <c r="J257" s="144"/>
      <c r="K257" s="144"/>
      <c r="L257" s="144"/>
      <c r="M257" s="144"/>
      <c r="N257" s="144"/>
      <c r="O257" s="144"/>
      <c r="P257" s="144"/>
    </row>
    <row r="258" spans="2:16" s="426" customFormat="1">
      <c r="B258" s="394">
        <v>251</v>
      </c>
      <c r="C258" s="390" t="s">
        <v>1590</v>
      </c>
      <c r="D258" s="384" t="s">
        <v>581</v>
      </c>
      <c r="E258" s="508" t="s">
        <v>1677</v>
      </c>
      <c r="F258" s="144"/>
      <c r="G258" s="392"/>
      <c r="H258" s="144"/>
      <c r="I258" s="144"/>
      <c r="J258" s="144"/>
      <c r="K258" s="144"/>
      <c r="L258" s="144"/>
      <c r="M258" s="144"/>
      <c r="N258" s="144"/>
      <c r="O258" s="144"/>
      <c r="P258" s="144"/>
    </row>
    <row r="259" spans="2:16" s="426" customFormat="1">
      <c r="B259" s="394">
        <v>252</v>
      </c>
      <c r="C259" s="390" t="s">
        <v>1591</v>
      </c>
      <c r="D259" s="384" t="s">
        <v>581</v>
      </c>
      <c r="E259" s="508" t="s">
        <v>1595</v>
      </c>
      <c r="F259" s="144"/>
      <c r="G259" s="392"/>
      <c r="H259" s="144"/>
      <c r="I259" s="144"/>
      <c r="J259" s="144"/>
      <c r="K259" s="144"/>
      <c r="L259" s="144"/>
      <c r="M259" s="144"/>
      <c r="N259" s="144"/>
      <c r="O259" s="144"/>
      <c r="P259" s="144"/>
    </row>
    <row r="260" spans="2:16" s="426" customFormat="1">
      <c r="B260" s="384">
        <v>253</v>
      </c>
      <c r="C260" s="384" t="s">
        <v>1598</v>
      </c>
      <c r="D260" s="384" t="s">
        <v>581</v>
      </c>
      <c r="E260" s="391" t="s">
        <v>1599</v>
      </c>
      <c r="F260" s="144"/>
      <c r="G260" s="392"/>
      <c r="H260" s="144"/>
      <c r="I260" s="144"/>
      <c r="J260" s="144"/>
      <c r="K260" s="144"/>
      <c r="L260" s="144"/>
      <c r="M260" s="144"/>
      <c r="N260" s="144"/>
      <c r="O260" s="144"/>
      <c r="P260" s="144"/>
    </row>
    <row r="261" spans="2:16" s="381" customFormat="1">
      <c r="B261" s="390">
        <v>254</v>
      </c>
      <c r="C261" s="385" t="s">
        <v>1951</v>
      </c>
      <c r="D261" s="384" t="s">
        <v>1962</v>
      </c>
      <c r="E261" s="544" t="s">
        <v>1955</v>
      </c>
      <c r="F261" s="434"/>
      <c r="G261" s="432"/>
      <c r="H261" s="434"/>
      <c r="I261" s="434"/>
      <c r="J261" s="434"/>
      <c r="K261" s="434"/>
      <c r="L261" s="434"/>
      <c r="M261" s="434"/>
      <c r="N261" s="434"/>
      <c r="O261" s="434"/>
      <c r="P261" s="434"/>
    </row>
    <row r="262" spans="2:16" s="381" customFormat="1">
      <c r="B262" s="390">
        <v>255</v>
      </c>
      <c r="C262" s="385" t="s">
        <v>1952</v>
      </c>
      <c r="D262" s="384" t="s">
        <v>1962</v>
      </c>
      <c r="E262" s="544" t="s">
        <v>1956</v>
      </c>
      <c r="F262" s="434"/>
      <c r="G262" s="432"/>
      <c r="H262" s="434"/>
      <c r="I262" s="434"/>
      <c r="J262" s="434"/>
      <c r="K262" s="434"/>
      <c r="L262" s="434"/>
      <c r="M262" s="434"/>
      <c r="N262" s="434"/>
      <c r="O262" s="434"/>
      <c r="P262" s="434"/>
    </row>
    <row r="263" spans="2:16" s="370" customFormat="1">
      <c r="B263" s="390">
        <v>256</v>
      </c>
      <c r="C263" s="385" t="s">
        <v>1953</v>
      </c>
      <c r="D263" s="384" t="s">
        <v>1962</v>
      </c>
      <c r="E263" s="544" t="s">
        <v>1957</v>
      </c>
      <c r="F263" s="434"/>
      <c r="G263" s="432"/>
      <c r="H263" s="434"/>
      <c r="I263" s="434"/>
      <c r="J263" s="434"/>
      <c r="K263" s="434"/>
      <c r="L263" s="434"/>
      <c r="M263" s="434"/>
      <c r="N263" s="434"/>
      <c r="O263" s="434"/>
      <c r="P263" s="434"/>
    </row>
    <row r="264" spans="2:16" s="370" customFormat="1">
      <c r="B264" s="390">
        <v>257</v>
      </c>
      <c r="C264" s="385" t="s">
        <v>1954</v>
      </c>
      <c r="D264" s="384" t="s">
        <v>1962</v>
      </c>
      <c r="E264" s="544" t="s">
        <v>1958</v>
      </c>
      <c r="F264" s="434"/>
      <c r="G264" s="432"/>
      <c r="H264" s="434"/>
      <c r="I264" s="434"/>
      <c r="J264" s="434"/>
      <c r="K264" s="434"/>
      <c r="L264" s="434"/>
      <c r="M264" s="434"/>
      <c r="N264" s="434"/>
      <c r="O264" s="434"/>
      <c r="P264" s="434"/>
    </row>
    <row r="265" spans="2:16">
      <c r="B265" s="371"/>
      <c r="C265" s="372"/>
      <c r="D265" s="371"/>
      <c r="E265" s="372"/>
      <c r="F265" s="371"/>
      <c r="G265" s="371"/>
      <c r="H265" s="371"/>
      <c r="I265" s="371"/>
      <c r="J265" s="371"/>
      <c r="K265" s="371"/>
      <c r="L265" s="371"/>
      <c r="M265" s="371"/>
      <c r="N265" s="371"/>
      <c r="O265" s="371"/>
      <c r="P265" s="371"/>
    </row>
  </sheetData>
  <mergeCells count="1">
    <mergeCell ref="G2:H2"/>
  </mergeCells>
  <pageMargins left="0.70866141732283472" right="0.70866141732283472" top="0.74803149606299213" bottom="0.74803149606299213" header="0.31496062992125984" footer="0.31496062992125984"/>
  <pageSetup paperSize="8" scale="73" fitToHeight="6" orientation="landscape" r:id="rId1"/>
</worksheet>
</file>

<file path=xl/worksheets/sheet8.xml><?xml version="1.0" encoding="utf-8"?>
<worksheet xmlns="http://schemas.openxmlformats.org/spreadsheetml/2006/main" xmlns:r="http://schemas.openxmlformats.org/officeDocument/2006/relationships">
  <sheetPr>
    <tabColor theme="3"/>
    <pageSetUpPr fitToPage="1"/>
  </sheetPr>
  <dimension ref="B2:AO279"/>
  <sheetViews>
    <sheetView view="pageBreakPreview" zoomScale="80" zoomScaleNormal="50" zoomScaleSheetLayoutView="80" workbookViewId="0">
      <selection activeCell="D36" sqref="D36"/>
    </sheetView>
  </sheetViews>
  <sheetFormatPr baseColWidth="10" defaultColWidth="11.42578125" defaultRowHeight="15"/>
  <cols>
    <col min="1" max="1" width="3.5703125" style="437" customWidth="1"/>
    <col min="2" max="2" width="10.28515625" style="382" customWidth="1"/>
    <col min="3" max="3" width="15.7109375" style="437" customWidth="1"/>
    <col min="4" max="4" width="34.5703125" style="382" customWidth="1"/>
    <col min="5" max="5" width="20.7109375" style="437" customWidth="1"/>
    <col min="6" max="12" width="20.7109375" style="382" customWidth="1"/>
    <col min="13" max="14" width="14" style="382" customWidth="1"/>
    <col min="15" max="15" width="23.7109375" style="382" customWidth="1"/>
    <col min="16" max="16" width="22.7109375" style="382" customWidth="1"/>
    <col min="17" max="17" width="11.7109375" style="437" customWidth="1"/>
    <col min="18" max="18" width="12.28515625" style="437" customWidth="1"/>
    <col min="19" max="22" width="11.42578125" style="437"/>
    <col min="23" max="23" width="11.7109375" style="437" customWidth="1"/>
    <col min="24" max="24" width="20.7109375" style="437" customWidth="1"/>
    <col min="25" max="16384" width="11.42578125" style="437"/>
  </cols>
  <sheetData>
    <row r="2" spans="2:41" ht="47.25">
      <c r="B2" s="462" t="s">
        <v>459</v>
      </c>
      <c r="C2" s="462" t="s">
        <v>47</v>
      </c>
      <c r="D2" s="462" t="s">
        <v>505</v>
      </c>
      <c r="E2" s="456" t="s">
        <v>1603</v>
      </c>
      <c r="F2" s="460" t="s">
        <v>1604</v>
      </c>
      <c r="G2" s="461" t="s">
        <v>1605</v>
      </c>
      <c r="H2" s="458" t="s">
        <v>1606</v>
      </c>
      <c r="I2" s="458" t="s">
        <v>1607</v>
      </c>
      <c r="J2" s="458" t="s">
        <v>1608</v>
      </c>
      <c r="K2" s="459" t="s">
        <v>1609</v>
      </c>
      <c r="L2" s="459" t="s">
        <v>1610</v>
      </c>
      <c r="M2" s="440"/>
      <c r="N2" s="440"/>
      <c r="O2" s="428"/>
      <c r="P2" s="428"/>
      <c r="Q2" s="388"/>
      <c r="R2" s="388"/>
      <c r="S2" s="388"/>
      <c r="T2" s="388"/>
      <c r="U2" s="388"/>
      <c r="V2" s="388"/>
      <c r="W2" s="388"/>
      <c r="X2" s="388"/>
      <c r="Y2" s="388"/>
      <c r="Z2" s="388"/>
      <c r="AA2" s="388"/>
      <c r="AB2" s="388"/>
      <c r="AC2" s="388"/>
      <c r="AD2" s="388"/>
      <c r="AE2" s="388"/>
      <c r="AF2" s="388"/>
      <c r="AG2" s="388"/>
      <c r="AH2" s="388"/>
      <c r="AI2" s="388"/>
      <c r="AJ2" s="388"/>
      <c r="AK2" s="388"/>
      <c r="AL2" s="388"/>
      <c r="AM2" s="388"/>
      <c r="AN2" s="388"/>
      <c r="AO2" s="388"/>
    </row>
    <row r="3" spans="2:41">
      <c r="B3" s="384">
        <v>15</v>
      </c>
      <c r="C3" s="463" t="s">
        <v>72</v>
      </c>
      <c r="D3" s="454" t="s">
        <v>1632</v>
      </c>
      <c r="E3" s="457">
        <v>41140</v>
      </c>
      <c r="F3" s="457">
        <v>6.0119999999999996</v>
      </c>
      <c r="G3" s="457">
        <v>6.1029999999999998</v>
      </c>
      <c r="H3" s="457">
        <v>71.12</v>
      </c>
      <c r="I3" s="457">
        <v>41140</v>
      </c>
      <c r="J3" s="457">
        <v>72.53</v>
      </c>
      <c r="K3" s="457">
        <v>72.53</v>
      </c>
      <c r="L3" s="457">
        <v>459.4</v>
      </c>
      <c r="M3" s="177"/>
      <c r="N3" s="177"/>
      <c r="O3" s="177"/>
      <c r="P3" s="177"/>
      <c r="Q3" s="125"/>
      <c r="R3" s="125"/>
      <c r="S3" s="386"/>
      <c r="T3" s="125"/>
      <c r="U3" s="386"/>
      <c r="V3" s="386"/>
      <c r="W3" s="386"/>
      <c r="X3" s="125"/>
      <c r="Y3" s="125"/>
      <c r="Z3" s="125"/>
      <c r="AA3" s="388"/>
      <c r="AB3" s="388"/>
      <c r="AC3" s="388"/>
      <c r="AD3" s="388"/>
      <c r="AE3" s="388"/>
      <c r="AF3" s="388"/>
      <c r="AG3" s="388"/>
      <c r="AH3" s="388"/>
      <c r="AI3" s="388"/>
      <c r="AJ3" s="388"/>
      <c r="AK3" s="388"/>
      <c r="AL3" s="388"/>
      <c r="AM3" s="388"/>
      <c r="AN3" s="388"/>
      <c r="AO3" s="388"/>
    </row>
    <row r="4" spans="2:41">
      <c r="B4" s="463">
        <v>16</v>
      </c>
      <c r="C4" s="463" t="s">
        <v>73</v>
      </c>
      <c r="D4" s="454" t="s">
        <v>1636</v>
      </c>
      <c r="E4" s="457">
        <v>195200</v>
      </c>
      <c r="F4" s="457">
        <v>10.78</v>
      </c>
      <c r="G4" s="457">
        <v>10.82</v>
      </c>
      <c r="H4" s="457">
        <v>123.3</v>
      </c>
      <c r="I4" s="457">
        <v>195200</v>
      </c>
      <c r="J4" s="457">
        <v>126.3</v>
      </c>
      <c r="K4" s="457">
        <v>126.3</v>
      </c>
      <c r="L4" s="457">
        <v>819</v>
      </c>
      <c r="M4" s="441"/>
      <c r="N4" s="441"/>
      <c r="O4" s="441"/>
      <c r="P4" s="441"/>
      <c r="Q4" s="128"/>
      <c r="R4" s="128"/>
      <c r="S4" s="128"/>
      <c r="T4" s="128"/>
      <c r="U4" s="128"/>
      <c r="V4" s="128"/>
      <c r="W4" s="128"/>
      <c r="X4" s="129"/>
      <c r="Y4" s="128"/>
      <c r="Z4" s="128"/>
      <c r="AA4" s="388"/>
      <c r="AB4" s="388"/>
      <c r="AC4" s="388"/>
      <c r="AD4" s="388"/>
      <c r="AE4" s="388"/>
      <c r="AF4" s="388"/>
      <c r="AG4" s="388"/>
      <c r="AH4" s="388"/>
      <c r="AI4" s="388"/>
      <c r="AJ4" s="388"/>
      <c r="AK4" s="388"/>
      <c r="AL4" s="388"/>
      <c r="AM4" s="388"/>
      <c r="AN4" s="388"/>
      <c r="AO4" s="388"/>
    </row>
    <row r="5" spans="2:41">
      <c r="B5" s="384">
        <v>17</v>
      </c>
      <c r="C5" s="463" t="s">
        <v>74</v>
      </c>
      <c r="D5" s="454" t="s">
        <v>1637</v>
      </c>
      <c r="E5" s="457">
        <v>345.1</v>
      </c>
      <c r="F5" s="457">
        <v>0.31340000000000001</v>
      </c>
      <c r="G5" s="457">
        <v>0.36420000000000002</v>
      </c>
      <c r="H5" s="457">
        <v>4.819</v>
      </c>
      <c r="I5" s="457">
        <v>345.1</v>
      </c>
      <c r="J5" s="457">
        <v>3.9969999999999999</v>
      </c>
      <c r="K5" s="457">
        <v>3.9969999999999999</v>
      </c>
      <c r="L5" s="457">
        <v>18.37</v>
      </c>
      <c r="M5" s="442"/>
      <c r="N5" s="442"/>
      <c r="O5" s="140"/>
      <c r="P5" s="140"/>
      <c r="Q5" s="133"/>
      <c r="R5" s="133"/>
      <c r="S5" s="125"/>
      <c r="T5" s="133"/>
      <c r="U5" s="133"/>
      <c r="V5" s="133"/>
      <c r="W5" s="133"/>
      <c r="X5" s="133"/>
      <c r="Y5" s="133"/>
      <c r="Z5" s="133"/>
      <c r="AA5" s="388"/>
      <c r="AB5" s="388"/>
      <c r="AC5" s="388"/>
      <c r="AD5" s="388"/>
      <c r="AE5" s="388"/>
      <c r="AF5" s="388"/>
      <c r="AG5" s="388"/>
      <c r="AH5" s="388"/>
      <c r="AI5" s="388"/>
      <c r="AJ5" s="388"/>
      <c r="AK5" s="388"/>
      <c r="AL5" s="388"/>
      <c r="AM5" s="388"/>
      <c r="AN5" s="388"/>
      <c r="AO5" s="388"/>
    </row>
    <row r="6" spans="2:41">
      <c r="B6" s="463">
        <v>46</v>
      </c>
      <c r="C6" s="471" t="s">
        <v>109</v>
      </c>
      <c r="D6" s="454" t="s">
        <v>1641</v>
      </c>
      <c r="E6" s="457">
        <v>5016</v>
      </c>
      <c r="F6" s="457">
        <v>184.8</v>
      </c>
      <c r="G6" s="457">
        <v>263.60000000000002</v>
      </c>
      <c r="H6" s="457">
        <v>170800</v>
      </c>
      <c r="I6" s="457">
        <v>5016</v>
      </c>
      <c r="J6" s="457">
        <v>50140</v>
      </c>
      <c r="K6" s="457">
        <v>50140</v>
      </c>
      <c r="L6" s="457">
        <v>21980</v>
      </c>
      <c r="M6" s="140"/>
      <c r="N6" s="140"/>
      <c r="O6" s="140"/>
      <c r="P6" s="140"/>
      <c r="Q6" s="133"/>
      <c r="R6" s="133"/>
      <c r="S6" s="125"/>
      <c r="T6" s="133"/>
      <c r="U6" s="133"/>
      <c r="V6" s="133"/>
      <c r="W6" s="133"/>
      <c r="X6" s="133"/>
      <c r="Y6" s="133"/>
      <c r="Z6" s="133"/>
      <c r="AA6" s="388"/>
      <c r="AB6" s="388"/>
      <c r="AC6" s="388"/>
      <c r="AD6" s="388"/>
      <c r="AE6" s="388"/>
      <c r="AF6" s="388"/>
      <c r="AG6" s="388"/>
      <c r="AH6" s="388"/>
      <c r="AI6" s="388"/>
      <c r="AJ6" s="388"/>
      <c r="AK6" s="388"/>
      <c r="AL6" s="388"/>
      <c r="AM6" s="388"/>
      <c r="AN6" s="388"/>
      <c r="AO6" s="388"/>
    </row>
    <row r="7" spans="2:41">
      <c r="B7" s="463">
        <v>42</v>
      </c>
      <c r="C7" s="463" t="s">
        <v>105</v>
      </c>
      <c r="D7" s="454" t="s">
        <v>1648</v>
      </c>
      <c r="E7" s="457">
        <v>50100</v>
      </c>
      <c r="F7" s="457">
        <v>896.5</v>
      </c>
      <c r="G7" s="457">
        <v>1329</v>
      </c>
      <c r="H7" s="457">
        <v>1000000</v>
      </c>
      <c r="I7" s="457">
        <v>50100</v>
      </c>
      <c r="J7" s="457">
        <v>609300</v>
      </c>
      <c r="K7" s="457">
        <v>609300</v>
      </c>
      <c r="L7" s="457">
        <v>269300</v>
      </c>
      <c r="M7" s="140"/>
      <c r="N7" s="140"/>
      <c r="O7" s="140"/>
      <c r="P7" s="140"/>
      <c r="Q7" s="133"/>
      <c r="R7" s="133"/>
      <c r="S7" s="125"/>
      <c r="T7" s="133"/>
      <c r="U7" s="133"/>
      <c r="V7" s="133"/>
      <c r="W7" s="133"/>
      <c r="X7" s="133"/>
      <c r="Y7" s="133"/>
      <c r="Z7" s="133"/>
      <c r="AA7" s="388"/>
      <c r="AB7" s="388"/>
      <c r="AC7" s="388"/>
      <c r="AD7" s="388"/>
      <c r="AE7" s="388"/>
      <c r="AF7" s="388"/>
      <c r="AG7" s="388"/>
      <c r="AH7" s="388"/>
      <c r="AI7" s="388"/>
      <c r="AJ7" s="388"/>
      <c r="AK7" s="388"/>
      <c r="AL7" s="388"/>
      <c r="AM7" s="388"/>
      <c r="AN7" s="388"/>
      <c r="AO7" s="388"/>
    </row>
    <row r="8" spans="2:41">
      <c r="B8" s="463">
        <v>43</v>
      </c>
      <c r="C8" s="463" t="s">
        <v>106</v>
      </c>
      <c r="D8" s="454" t="s">
        <v>1649</v>
      </c>
      <c r="E8" s="457">
        <v>313.7</v>
      </c>
      <c r="F8" s="457">
        <v>1.905</v>
      </c>
      <c r="G8" s="457">
        <v>2.915</v>
      </c>
      <c r="H8" s="457">
        <v>5133</v>
      </c>
      <c r="I8" s="457">
        <v>313.7</v>
      </c>
      <c r="J8" s="457">
        <v>393.5</v>
      </c>
      <c r="K8" s="457">
        <v>3935</v>
      </c>
      <c r="L8" s="457">
        <v>281.2</v>
      </c>
      <c r="M8" s="140"/>
      <c r="N8" s="140"/>
      <c r="O8" s="140"/>
      <c r="P8" s="140"/>
      <c r="Q8" s="133"/>
      <c r="R8" s="133"/>
      <c r="S8" s="125"/>
      <c r="T8" s="133"/>
      <c r="U8" s="133"/>
      <c r="V8" s="133"/>
      <c r="W8" s="133"/>
      <c r="X8" s="133"/>
      <c r="Y8" s="133"/>
      <c r="Z8" s="133"/>
      <c r="AA8" s="388"/>
      <c r="AB8" s="388"/>
      <c r="AC8" s="388"/>
      <c r="AD8" s="388"/>
      <c r="AE8" s="388"/>
      <c r="AF8" s="388"/>
      <c r="AG8" s="388"/>
      <c r="AH8" s="388"/>
      <c r="AI8" s="388"/>
      <c r="AJ8" s="388"/>
      <c r="AK8" s="388"/>
      <c r="AL8" s="388"/>
      <c r="AM8" s="388"/>
      <c r="AN8" s="388"/>
      <c r="AO8" s="388"/>
    </row>
    <row r="9" spans="2:41">
      <c r="B9" s="463">
        <v>36</v>
      </c>
      <c r="C9" s="463" t="s">
        <v>1611</v>
      </c>
      <c r="D9" s="454" t="s">
        <v>1652</v>
      </c>
      <c r="E9" s="457">
        <v>1501</v>
      </c>
      <c r="F9" s="457">
        <v>9.3049999999999997</v>
      </c>
      <c r="G9" s="457">
        <v>14.21</v>
      </c>
      <c r="H9" s="457">
        <v>7817</v>
      </c>
      <c r="I9" s="457">
        <v>1501</v>
      </c>
      <c r="J9" s="457">
        <v>4726</v>
      </c>
      <c r="K9" s="457">
        <v>4726</v>
      </c>
      <c r="L9" s="457">
        <v>5526</v>
      </c>
      <c r="M9" s="140"/>
      <c r="N9" s="140"/>
      <c r="O9" s="140"/>
      <c r="P9" s="140"/>
      <c r="Q9" s="133"/>
      <c r="R9" s="133"/>
      <c r="S9" s="125"/>
      <c r="T9" s="133"/>
      <c r="U9" s="133"/>
      <c r="V9" s="133"/>
      <c r="W9" s="133"/>
      <c r="X9" s="133"/>
      <c r="Y9" s="133"/>
      <c r="Z9" s="133"/>
      <c r="AA9" s="388"/>
      <c r="AB9" s="388"/>
      <c r="AC9" s="388"/>
      <c r="AD9" s="388"/>
      <c r="AE9" s="388"/>
      <c r="AF9" s="388"/>
      <c r="AG9" s="388"/>
      <c r="AH9" s="388"/>
      <c r="AI9" s="388"/>
      <c r="AJ9" s="388"/>
      <c r="AK9" s="388"/>
      <c r="AL9" s="388"/>
      <c r="AM9" s="388"/>
      <c r="AN9" s="388"/>
      <c r="AO9" s="388"/>
    </row>
    <row r="10" spans="2:41">
      <c r="B10" s="463">
        <v>33</v>
      </c>
      <c r="C10" s="463" t="s">
        <v>96</v>
      </c>
      <c r="D10" s="454" t="s">
        <v>1663</v>
      </c>
      <c r="E10" s="457">
        <v>2453</v>
      </c>
      <c r="F10" s="457">
        <v>3.262</v>
      </c>
      <c r="G10" s="457">
        <v>4.8970000000000002</v>
      </c>
      <c r="H10" s="457">
        <v>1067</v>
      </c>
      <c r="I10" s="457">
        <v>2453</v>
      </c>
      <c r="J10" s="457">
        <v>1056</v>
      </c>
      <c r="K10" s="457">
        <v>1056</v>
      </c>
      <c r="L10" s="457">
        <v>4591</v>
      </c>
      <c r="M10" s="140"/>
      <c r="N10" s="140"/>
      <c r="O10" s="140"/>
      <c r="P10" s="140"/>
      <c r="Q10" s="133"/>
      <c r="R10" s="133"/>
      <c r="S10" s="125"/>
      <c r="T10" s="133"/>
      <c r="U10" s="133"/>
      <c r="V10" s="133"/>
      <c r="W10" s="133"/>
      <c r="X10" s="133"/>
      <c r="Y10" s="133"/>
      <c r="Z10" s="133"/>
      <c r="AA10" s="388"/>
      <c r="AB10" s="388"/>
      <c r="AC10" s="388"/>
      <c r="AD10" s="388"/>
      <c r="AE10" s="388"/>
      <c r="AF10" s="388"/>
      <c r="AG10" s="388"/>
      <c r="AH10" s="388"/>
      <c r="AI10" s="388"/>
      <c r="AJ10" s="388"/>
      <c r="AK10" s="388"/>
      <c r="AL10" s="388"/>
      <c r="AM10" s="388"/>
      <c r="AN10" s="388"/>
      <c r="AO10" s="388"/>
    </row>
    <row r="11" spans="2:41">
      <c r="B11" s="463">
        <v>24</v>
      </c>
      <c r="C11" s="463" t="s">
        <v>119</v>
      </c>
      <c r="D11" s="516" t="s">
        <v>1833</v>
      </c>
      <c r="E11" s="457">
        <v>12.19</v>
      </c>
      <c r="F11" s="457">
        <v>0.22539999999999999</v>
      </c>
      <c r="G11" s="457">
        <v>0.7036</v>
      </c>
      <c r="H11" s="457">
        <v>236.8</v>
      </c>
      <c r="I11" s="457">
        <v>12.19</v>
      </c>
      <c r="J11" s="457">
        <v>43.17</v>
      </c>
      <c r="K11" s="457">
        <v>43.17</v>
      </c>
      <c r="L11" s="457">
        <v>20.51</v>
      </c>
      <c r="M11" s="140"/>
      <c r="N11" s="140"/>
      <c r="O11" s="140"/>
      <c r="P11" s="140"/>
      <c r="Q11" s="133"/>
      <c r="R11" s="133"/>
      <c r="S11" s="125"/>
      <c r="T11" s="133"/>
      <c r="U11" s="133"/>
      <c r="V11" s="133"/>
      <c r="W11" s="133"/>
      <c r="X11" s="133"/>
      <c r="Y11" s="133"/>
      <c r="Z11" s="133"/>
      <c r="AA11" s="388"/>
      <c r="AB11" s="388"/>
      <c r="AC11" s="388"/>
      <c r="AD11" s="388"/>
      <c r="AE11" s="388"/>
      <c r="AF11" s="388"/>
      <c r="AG11" s="388"/>
      <c r="AH11" s="388"/>
      <c r="AI11" s="388"/>
      <c r="AJ11" s="388"/>
      <c r="AK11" s="388"/>
      <c r="AL11" s="388"/>
      <c r="AM11" s="388"/>
      <c r="AN11" s="388"/>
      <c r="AO11" s="388"/>
    </row>
    <row r="12" spans="2:41">
      <c r="B12" s="463">
        <v>197</v>
      </c>
      <c r="C12" s="463" t="s">
        <v>424</v>
      </c>
      <c r="D12" s="454" t="s">
        <v>1835</v>
      </c>
      <c r="E12" s="457">
        <v>43630</v>
      </c>
      <c r="F12" s="457">
        <v>0.3357</v>
      </c>
      <c r="G12" s="457">
        <v>0.33579999999999999</v>
      </c>
      <c r="H12" s="457">
        <v>3.8010000000000002</v>
      </c>
      <c r="I12" s="457">
        <v>43630</v>
      </c>
      <c r="J12" s="457">
        <v>3.8969999999999998</v>
      </c>
      <c r="K12" s="457">
        <v>3.8969999999999998</v>
      </c>
      <c r="L12" s="457">
        <v>25.43</v>
      </c>
      <c r="M12" s="140"/>
      <c r="N12" s="140"/>
      <c r="O12" s="140"/>
      <c r="P12" s="140"/>
      <c r="Q12" s="133"/>
      <c r="R12" s="133"/>
      <c r="S12" s="125"/>
      <c r="T12" s="133"/>
      <c r="U12" s="133"/>
      <c r="V12" s="133"/>
      <c r="W12" s="133"/>
      <c r="X12" s="133"/>
      <c r="Y12" s="133"/>
      <c r="Z12" s="133"/>
      <c r="AA12" s="388"/>
      <c r="AB12" s="388"/>
      <c r="AC12" s="388"/>
      <c r="AD12" s="388"/>
      <c r="AE12" s="388"/>
      <c r="AF12" s="388"/>
      <c r="AG12" s="388"/>
      <c r="AH12" s="388"/>
      <c r="AI12" s="388"/>
      <c r="AJ12" s="388"/>
      <c r="AK12" s="388"/>
      <c r="AL12" s="388"/>
      <c r="AM12" s="388"/>
      <c r="AN12" s="388"/>
      <c r="AO12" s="388"/>
    </row>
    <row r="13" spans="2:41">
      <c r="B13" s="463">
        <v>14</v>
      </c>
      <c r="C13" s="463" t="s">
        <v>67</v>
      </c>
      <c r="D13" s="454" t="s">
        <v>1765</v>
      </c>
      <c r="E13" s="457">
        <v>297.5</v>
      </c>
      <c r="F13" s="457">
        <v>0.20569999999999999</v>
      </c>
      <c r="G13" s="457">
        <v>0.20669999999999999</v>
      </c>
      <c r="H13" s="457">
        <v>2.359</v>
      </c>
      <c r="I13" s="457">
        <v>297.5</v>
      </c>
      <c r="J13" s="457">
        <v>2.4119999999999999</v>
      </c>
      <c r="K13" s="457">
        <v>2.4119999999999999</v>
      </c>
      <c r="L13" s="457">
        <v>15.48</v>
      </c>
      <c r="M13" s="140"/>
      <c r="N13" s="140"/>
      <c r="O13" s="140"/>
      <c r="P13" s="140"/>
      <c r="Q13" s="133"/>
      <c r="R13" s="133"/>
      <c r="S13" s="125"/>
      <c r="T13" s="133"/>
      <c r="U13" s="133"/>
      <c r="V13" s="133"/>
      <c r="W13" s="133"/>
      <c r="X13" s="133"/>
      <c r="Y13" s="133"/>
      <c r="Z13" s="133"/>
      <c r="AA13" s="388"/>
      <c r="AB13" s="388"/>
      <c r="AC13" s="388"/>
      <c r="AD13" s="388"/>
      <c r="AE13" s="388"/>
      <c r="AF13" s="388"/>
      <c r="AG13" s="388"/>
      <c r="AH13" s="388"/>
      <c r="AI13" s="388"/>
      <c r="AJ13" s="388"/>
      <c r="AK13" s="388"/>
      <c r="AL13" s="388"/>
      <c r="AM13" s="388"/>
      <c r="AN13" s="388"/>
      <c r="AO13" s="388"/>
    </row>
    <row r="14" spans="2:41">
      <c r="B14" s="463">
        <v>23</v>
      </c>
      <c r="C14" s="463" t="s">
        <v>118</v>
      </c>
      <c r="D14" s="454" t="s">
        <v>1895</v>
      </c>
      <c r="E14" s="457">
        <v>400.5</v>
      </c>
      <c r="F14" s="457">
        <v>11.76</v>
      </c>
      <c r="G14" s="457">
        <v>19.78</v>
      </c>
      <c r="H14" s="457">
        <v>11080</v>
      </c>
      <c r="I14" s="457">
        <v>400.5</v>
      </c>
      <c r="J14" s="457">
        <v>4506</v>
      </c>
      <c r="K14" s="457">
        <v>4506</v>
      </c>
      <c r="L14" s="457">
        <v>2316</v>
      </c>
      <c r="M14" s="442"/>
      <c r="N14" s="442"/>
      <c r="O14" s="140"/>
      <c r="P14" s="140"/>
      <c r="Q14" s="133"/>
      <c r="R14" s="133"/>
      <c r="S14" s="125"/>
      <c r="T14" s="133"/>
      <c r="U14" s="133"/>
      <c r="V14" s="133"/>
      <c r="W14" s="133"/>
      <c r="X14" s="133"/>
      <c r="Y14" s="133"/>
      <c r="Z14" s="133"/>
      <c r="AA14" s="388"/>
      <c r="AB14" s="388"/>
      <c r="AC14" s="388"/>
      <c r="AD14" s="388"/>
      <c r="AE14" s="388"/>
      <c r="AF14" s="388"/>
      <c r="AG14" s="388"/>
      <c r="AH14" s="388"/>
      <c r="AI14" s="388"/>
      <c r="AJ14" s="388"/>
      <c r="AK14" s="388"/>
      <c r="AL14" s="388"/>
      <c r="AM14" s="388"/>
      <c r="AN14" s="388"/>
      <c r="AO14" s="388"/>
    </row>
    <row r="15" spans="2:41">
      <c r="B15" s="463">
        <v>179</v>
      </c>
      <c r="C15" s="463" t="s">
        <v>110</v>
      </c>
      <c r="D15" s="517" t="s">
        <v>1896</v>
      </c>
      <c r="E15" s="457">
        <v>28.48</v>
      </c>
      <c r="F15" s="457">
        <v>1.4630000000000001</v>
      </c>
      <c r="G15" s="457">
        <v>2.1120000000000001</v>
      </c>
      <c r="H15" s="457">
        <v>604</v>
      </c>
      <c r="I15" s="457">
        <v>28.48</v>
      </c>
      <c r="J15" s="457">
        <v>108.4</v>
      </c>
      <c r="K15" s="457">
        <v>108.4</v>
      </c>
      <c r="L15" s="457">
        <v>66.09</v>
      </c>
      <c r="M15" s="140"/>
      <c r="N15" s="140"/>
      <c r="O15" s="140"/>
      <c r="P15" s="140"/>
      <c r="Q15" s="133"/>
      <c r="R15" s="133"/>
      <c r="S15" s="125"/>
      <c r="T15" s="133"/>
      <c r="U15" s="133"/>
      <c r="V15" s="133"/>
      <c r="W15" s="133"/>
      <c r="X15" s="133"/>
      <c r="Y15" s="133"/>
      <c r="Z15" s="133"/>
      <c r="AA15" s="388"/>
      <c r="AB15" s="388"/>
      <c r="AC15" s="388"/>
      <c r="AD15" s="388"/>
      <c r="AE15" s="388"/>
      <c r="AF15" s="388"/>
      <c r="AG15" s="388"/>
      <c r="AH15" s="388"/>
      <c r="AI15" s="388"/>
      <c r="AJ15" s="388"/>
      <c r="AK15" s="388"/>
      <c r="AL15" s="388"/>
      <c r="AM15" s="388"/>
      <c r="AN15" s="388"/>
      <c r="AO15" s="388"/>
    </row>
    <row r="16" spans="2:41">
      <c r="B16" s="463">
        <v>21</v>
      </c>
      <c r="C16" s="463" t="s">
        <v>116</v>
      </c>
      <c r="D16" s="454" t="s">
        <v>1622</v>
      </c>
      <c r="E16" s="457">
        <v>1669</v>
      </c>
      <c r="F16" s="457">
        <v>10.83</v>
      </c>
      <c r="G16" s="457">
        <v>11.94</v>
      </c>
      <c r="H16" s="457">
        <v>169.4</v>
      </c>
      <c r="I16" s="457">
        <v>1669</v>
      </c>
      <c r="J16" s="457">
        <v>170.8</v>
      </c>
      <c r="K16" s="457">
        <v>170.8</v>
      </c>
      <c r="L16" s="457">
        <v>6743</v>
      </c>
      <c r="M16" s="177"/>
      <c r="N16" s="177"/>
      <c r="O16" s="140"/>
      <c r="P16" s="140"/>
      <c r="Q16" s="133"/>
      <c r="R16" s="133"/>
      <c r="S16" s="125"/>
      <c r="T16" s="133"/>
      <c r="U16" s="133"/>
      <c r="V16" s="133"/>
      <c r="W16" s="133"/>
      <c r="X16" s="133"/>
      <c r="Y16" s="133"/>
      <c r="Z16" s="133"/>
      <c r="AA16" s="388"/>
      <c r="AB16" s="388"/>
      <c r="AC16" s="388"/>
      <c r="AD16" s="388"/>
      <c r="AE16" s="388"/>
      <c r="AF16" s="388"/>
      <c r="AG16" s="388"/>
      <c r="AH16" s="388"/>
      <c r="AI16" s="388"/>
      <c r="AJ16" s="388"/>
      <c r="AK16" s="388"/>
      <c r="AL16" s="388"/>
      <c r="AM16" s="388"/>
      <c r="AN16" s="388"/>
      <c r="AO16" s="388"/>
    </row>
    <row r="17" spans="2:41">
      <c r="B17" s="463">
        <v>19</v>
      </c>
      <c r="C17" s="463" t="s">
        <v>87</v>
      </c>
      <c r="D17" s="454" t="s">
        <v>1625</v>
      </c>
      <c r="E17" s="457">
        <v>766.9</v>
      </c>
      <c r="F17" s="457">
        <v>3.0449999999999999</v>
      </c>
      <c r="G17" s="457">
        <v>3.6389999999999998</v>
      </c>
      <c r="H17" s="457">
        <v>68.13</v>
      </c>
      <c r="I17" s="457">
        <v>766.9</v>
      </c>
      <c r="J17" s="457">
        <v>66.92</v>
      </c>
      <c r="K17" s="457">
        <v>66.92</v>
      </c>
      <c r="L17" s="457">
        <v>338.4</v>
      </c>
      <c r="M17" s="140"/>
      <c r="N17" s="140"/>
      <c r="O17" s="140"/>
      <c r="P17" s="140"/>
      <c r="Q17" s="133"/>
      <c r="R17" s="133"/>
      <c r="S17" s="125"/>
      <c r="T17" s="133"/>
      <c r="U17" s="133"/>
      <c r="V17" s="133"/>
      <c r="W17" s="133"/>
      <c r="X17" s="133"/>
      <c r="Y17" s="133"/>
      <c r="Z17" s="133"/>
      <c r="AA17" s="388"/>
      <c r="AB17" s="388"/>
      <c r="AC17" s="388"/>
      <c r="AD17" s="388"/>
      <c r="AE17" s="388"/>
      <c r="AF17" s="388"/>
      <c r="AG17" s="388"/>
      <c r="AH17" s="388"/>
      <c r="AI17" s="388"/>
      <c r="AJ17" s="388"/>
      <c r="AK17" s="388"/>
      <c r="AL17" s="388"/>
      <c r="AM17" s="388"/>
      <c r="AN17" s="388"/>
      <c r="AO17" s="388"/>
    </row>
    <row r="18" spans="2:41" s="536" customFormat="1">
      <c r="B18" s="471">
        <v>12</v>
      </c>
      <c r="C18" s="471" t="s">
        <v>346</v>
      </c>
      <c r="D18" s="535" t="s">
        <v>1620</v>
      </c>
      <c r="E18" s="538">
        <v>393.6</v>
      </c>
      <c r="F18" s="538">
        <v>0.2046</v>
      </c>
      <c r="G18" s="538">
        <v>0.21909999999999999</v>
      </c>
      <c r="H18" s="538">
        <v>2.2400000000000002</v>
      </c>
      <c r="I18" s="538">
        <v>393.6</v>
      </c>
      <c r="J18" s="538">
        <v>1.99</v>
      </c>
      <c r="K18" s="538">
        <v>1.99</v>
      </c>
      <c r="L18" s="538">
        <v>12.48</v>
      </c>
      <c r="M18" s="140"/>
      <c r="N18" s="140"/>
      <c r="O18" s="140"/>
      <c r="P18" s="140"/>
      <c r="Q18" s="133"/>
      <c r="R18" s="133"/>
      <c r="S18" s="125"/>
      <c r="T18" s="133"/>
      <c r="U18" s="133"/>
      <c r="V18" s="133"/>
      <c r="W18" s="133"/>
      <c r="X18" s="133"/>
      <c r="Y18" s="133"/>
      <c r="Z18" s="133"/>
      <c r="AA18" s="388"/>
      <c r="AB18" s="388"/>
      <c r="AC18" s="388"/>
      <c r="AD18" s="388"/>
      <c r="AE18" s="388"/>
      <c r="AF18" s="388"/>
      <c r="AG18" s="388"/>
      <c r="AH18" s="388"/>
      <c r="AI18" s="388"/>
      <c r="AJ18" s="388"/>
      <c r="AK18" s="388"/>
      <c r="AL18" s="388"/>
      <c r="AM18" s="388"/>
      <c r="AN18" s="388"/>
      <c r="AO18" s="388"/>
    </row>
    <row r="19" spans="2:41" s="536" customFormat="1">
      <c r="B19" s="471">
        <v>254</v>
      </c>
      <c r="C19" s="471" t="s">
        <v>1951</v>
      </c>
      <c r="D19" s="535" t="s">
        <v>1959</v>
      </c>
      <c r="E19" s="538">
        <v>21000</v>
      </c>
      <c r="F19" s="538">
        <v>2.629</v>
      </c>
      <c r="G19" s="538">
        <v>2.6509999999999998</v>
      </c>
      <c r="H19" s="538">
        <v>30.61</v>
      </c>
      <c r="I19" s="538">
        <v>21000</v>
      </c>
      <c r="J19" s="538">
        <v>31.13</v>
      </c>
      <c r="K19" s="538">
        <v>31.13</v>
      </c>
      <c r="L19" s="538">
        <v>194.4</v>
      </c>
      <c r="M19" s="140"/>
      <c r="N19" s="140"/>
      <c r="O19" s="140"/>
      <c r="P19" s="140"/>
      <c r="Q19" s="133"/>
      <c r="R19" s="133"/>
      <c r="S19" s="125"/>
      <c r="T19" s="133"/>
      <c r="U19" s="133"/>
      <c r="V19" s="133"/>
      <c r="W19" s="133"/>
      <c r="X19" s="133"/>
      <c r="Y19" s="133"/>
      <c r="Z19" s="133"/>
      <c r="AA19" s="388"/>
      <c r="AB19" s="388"/>
      <c r="AC19" s="388"/>
      <c r="AD19" s="388"/>
      <c r="AE19" s="388"/>
      <c r="AF19" s="388"/>
      <c r="AG19" s="388"/>
      <c r="AH19" s="388"/>
      <c r="AI19" s="388"/>
      <c r="AJ19" s="388"/>
      <c r="AK19" s="388"/>
      <c r="AL19" s="388"/>
      <c r="AM19" s="388"/>
      <c r="AN19" s="388"/>
      <c r="AO19" s="388"/>
    </row>
    <row r="20" spans="2:41" s="536" customFormat="1">
      <c r="B20" s="471">
        <v>92</v>
      </c>
      <c r="C20" s="471" t="s">
        <v>370</v>
      </c>
      <c r="D20" s="535" t="s">
        <v>1630</v>
      </c>
      <c r="E20" s="538">
        <v>19290</v>
      </c>
      <c r="F20" s="538">
        <v>3.145</v>
      </c>
      <c r="G20" s="538">
        <v>3.1629999999999998</v>
      </c>
      <c r="H20" s="538">
        <v>36.26</v>
      </c>
      <c r="I20" s="538">
        <v>19290</v>
      </c>
      <c r="J20" s="538">
        <v>36.99</v>
      </c>
      <c r="K20" s="538">
        <v>36.99</v>
      </c>
      <c r="L20" s="538">
        <v>234.5</v>
      </c>
      <c r="M20" s="140"/>
      <c r="N20" s="140"/>
      <c r="O20" s="140"/>
      <c r="P20" s="140"/>
      <c r="Q20" s="133"/>
      <c r="R20" s="133"/>
      <c r="S20" s="125"/>
      <c r="T20" s="133"/>
      <c r="U20" s="133"/>
      <c r="V20" s="133"/>
      <c r="W20" s="133"/>
      <c r="X20" s="133"/>
      <c r="Y20" s="133"/>
      <c r="Z20" s="133"/>
      <c r="AA20" s="388"/>
      <c r="AB20" s="388"/>
      <c r="AC20" s="388"/>
      <c r="AD20" s="388"/>
      <c r="AE20" s="388"/>
      <c r="AF20" s="388"/>
      <c r="AG20" s="388"/>
      <c r="AH20" s="388"/>
      <c r="AI20" s="388"/>
      <c r="AJ20" s="388"/>
      <c r="AK20" s="388"/>
      <c r="AL20" s="388"/>
      <c r="AM20" s="388"/>
      <c r="AN20" s="388"/>
      <c r="AO20" s="388"/>
    </row>
    <row r="21" spans="2:41" s="536" customFormat="1">
      <c r="B21" s="471">
        <v>93</v>
      </c>
      <c r="C21" s="471" t="s">
        <v>371</v>
      </c>
      <c r="D21" s="535" t="s">
        <v>1634</v>
      </c>
      <c r="E21" s="538">
        <v>17400</v>
      </c>
      <c r="F21" s="538">
        <v>1.387</v>
      </c>
      <c r="G21" s="538">
        <v>1.3939999999999999</v>
      </c>
      <c r="H21" s="538">
        <v>15.95</v>
      </c>
      <c r="I21" s="538">
        <v>17400</v>
      </c>
      <c r="J21" s="538">
        <v>16.29</v>
      </c>
      <c r="K21" s="538">
        <v>16.29</v>
      </c>
      <c r="L21" s="538">
        <v>103.9</v>
      </c>
      <c r="M21" s="140"/>
      <c r="N21" s="140"/>
      <c r="O21" s="140"/>
      <c r="P21" s="140"/>
      <c r="Q21" s="133"/>
      <c r="R21" s="133"/>
      <c r="S21" s="125"/>
      <c r="T21" s="133"/>
      <c r="U21" s="133"/>
      <c r="V21" s="133"/>
      <c r="W21" s="133"/>
      <c r="X21" s="133"/>
      <c r="Y21" s="133"/>
      <c r="Z21" s="133"/>
      <c r="AA21" s="388"/>
      <c r="AB21" s="388"/>
      <c r="AC21" s="388"/>
      <c r="AD21" s="388"/>
      <c r="AE21" s="388"/>
      <c r="AF21" s="388"/>
      <c r="AG21" s="388"/>
      <c r="AH21" s="388"/>
      <c r="AI21" s="388"/>
      <c r="AJ21" s="388"/>
      <c r="AK21" s="388"/>
      <c r="AL21" s="388"/>
      <c r="AM21" s="388"/>
      <c r="AN21" s="388"/>
      <c r="AO21" s="388"/>
    </row>
    <row r="22" spans="2:41" s="536" customFormat="1">
      <c r="B22" s="471">
        <v>255</v>
      </c>
      <c r="C22" s="471" t="s">
        <v>1952</v>
      </c>
      <c r="D22" s="535" t="s">
        <v>1956</v>
      </c>
      <c r="E22" s="538">
        <v>1000000</v>
      </c>
      <c r="F22" s="538">
        <v>1.026</v>
      </c>
      <c r="G22" s="538">
        <v>1.026</v>
      </c>
      <c r="H22" s="538">
        <v>11.61</v>
      </c>
      <c r="I22" s="538">
        <v>1000000</v>
      </c>
      <c r="J22" s="538">
        <v>11.9</v>
      </c>
      <c r="K22" s="538">
        <v>11.9</v>
      </c>
      <c r="L22" s="538">
        <v>77.8</v>
      </c>
      <c r="M22" s="140"/>
      <c r="N22" s="140"/>
      <c r="O22" s="140"/>
      <c r="P22" s="140"/>
      <c r="Q22" s="133"/>
      <c r="R22" s="133"/>
      <c r="S22" s="125"/>
      <c r="T22" s="133"/>
      <c r="U22" s="133"/>
      <c r="V22" s="133"/>
      <c r="W22" s="133"/>
      <c r="X22" s="133"/>
      <c r="Y22" s="133"/>
      <c r="Z22" s="133"/>
      <c r="AA22" s="388"/>
      <c r="AB22" s="388"/>
      <c r="AC22" s="388"/>
      <c r="AD22" s="388"/>
      <c r="AE22" s="388"/>
      <c r="AF22" s="388"/>
      <c r="AG22" s="388"/>
      <c r="AH22" s="388"/>
      <c r="AI22" s="388"/>
      <c r="AJ22" s="388"/>
      <c r="AK22" s="388"/>
      <c r="AL22" s="388"/>
      <c r="AM22" s="388"/>
      <c r="AN22" s="388"/>
      <c r="AO22" s="388"/>
    </row>
    <row r="23" spans="2:41">
      <c r="B23" s="471">
        <v>256</v>
      </c>
      <c r="C23" s="471" t="s">
        <v>1953</v>
      </c>
      <c r="D23" s="535" t="s">
        <v>1957</v>
      </c>
      <c r="E23" s="538">
        <v>12020</v>
      </c>
      <c r="F23" s="538">
        <v>3.0510000000000002</v>
      </c>
      <c r="G23" s="538">
        <v>3.0569999999999999</v>
      </c>
      <c r="H23" s="538">
        <v>34.68</v>
      </c>
      <c r="I23" s="538">
        <v>12020</v>
      </c>
      <c r="J23" s="538">
        <v>35.53</v>
      </c>
      <c r="K23" s="538">
        <v>35.53</v>
      </c>
      <c r="L23" s="538">
        <v>242.7</v>
      </c>
      <c r="M23" s="140"/>
      <c r="N23" s="140"/>
      <c r="O23" s="140"/>
      <c r="P23" s="140"/>
      <c r="Q23" s="133"/>
      <c r="R23" s="133"/>
      <c r="S23" s="125"/>
      <c r="T23" s="133"/>
      <c r="U23" s="133"/>
      <c r="V23" s="133"/>
      <c r="W23" s="133"/>
      <c r="X23" s="133"/>
      <c r="Y23" s="133"/>
      <c r="Z23" s="133"/>
      <c r="AA23" s="388"/>
      <c r="AB23" s="388"/>
      <c r="AC23" s="388"/>
      <c r="AD23" s="388"/>
      <c r="AE23" s="388"/>
      <c r="AF23" s="388"/>
      <c r="AG23" s="388"/>
      <c r="AH23" s="388"/>
      <c r="AI23" s="388"/>
      <c r="AJ23" s="388"/>
      <c r="AK23" s="388"/>
      <c r="AL23" s="388"/>
      <c r="AM23" s="388"/>
      <c r="AN23" s="388"/>
      <c r="AO23" s="388"/>
    </row>
    <row r="24" spans="2:41" s="536" customFormat="1">
      <c r="B24" s="471">
        <v>257</v>
      </c>
      <c r="C24" s="471" t="s">
        <v>1954</v>
      </c>
      <c r="D24" s="535" t="s">
        <v>1958</v>
      </c>
      <c r="E24" s="538">
        <v>1000000</v>
      </c>
      <c r="F24" s="538">
        <v>1.4850000000000001</v>
      </c>
      <c r="G24" s="538">
        <v>1.4850000000000001</v>
      </c>
      <c r="H24" s="538">
        <v>16.809999999999999</v>
      </c>
      <c r="I24" s="538">
        <v>1000000</v>
      </c>
      <c r="J24" s="538">
        <v>17.23</v>
      </c>
      <c r="K24" s="538">
        <v>17.23</v>
      </c>
      <c r="L24" s="538">
        <v>1000000</v>
      </c>
      <c r="M24" s="140"/>
      <c r="N24" s="140"/>
      <c r="O24" s="140"/>
      <c r="P24" s="140"/>
      <c r="Q24" s="133"/>
      <c r="R24" s="133"/>
      <c r="S24" s="125"/>
      <c r="T24" s="133"/>
      <c r="U24" s="133"/>
      <c r="V24" s="133"/>
      <c r="W24" s="133"/>
      <c r="X24" s="133"/>
      <c r="Y24" s="133"/>
      <c r="Z24" s="133"/>
      <c r="AA24" s="388"/>
      <c r="AB24" s="388"/>
      <c r="AC24" s="388"/>
      <c r="AD24" s="388"/>
      <c r="AE24" s="388"/>
      <c r="AF24" s="388"/>
      <c r="AG24" s="388"/>
      <c r="AH24" s="388"/>
      <c r="AI24" s="388"/>
      <c r="AJ24" s="388"/>
      <c r="AK24" s="388"/>
      <c r="AL24" s="388"/>
      <c r="AM24" s="388"/>
      <c r="AN24" s="388"/>
      <c r="AO24" s="388"/>
    </row>
    <row r="25" spans="2:41" ht="16.899999999999999" customHeight="1">
      <c r="B25" s="384"/>
      <c r="C25" s="390"/>
      <c r="D25" s="384"/>
      <c r="E25" s="131"/>
      <c r="F25" s="140"/>
      <c r="G25" s="140"/>
      <c r="H25" s="140"/>
      <c r="I25" s="140"/>
      <c r="J25" s="140"/>
      <c r="K25" s="140"/>
      <c r="L25" s="140"/>
      <c r="M25" s="140"/>
      <c r="N25" s="140"/>
      <c r="O25" s="140"/>
      <c r="P25" s="140"/>
      <c r="Q25" s="133"/>
      <c r="R25" s="133"/>
      <c r="S25" s="125"/>
      <c r="T25" s="133"/>
      <c r="U25" s="133"/>
      <c r="V25" s="133"/>
      <c r="W25" s="133"/>
      <c r="X25" s="133"/>
      <c r="Y25" s="133"/>
      <c r="Z25" s="133"/>
      <c r="AA25" s="388"/>
      <c r="AB25" s="388"/>
      <c r="AC25" s="388"/>
      <c r="AD25" s="388"/>
      <c r="AE25" s="388"/>
      <c r="AF25" s="388"/>
      <c r="AG25" s="388"/>
      <c r="AH25" s="388"/>
      <c r="AI25" s="388"/>
      <c r="AJ25" s="388"/>
      <c r="AK25" s="388"/>
      <c r="AL25" s="388"/>
      <c r="AM25" s="388"/>
      <c r="AN25" s="388"/>
      <c r="AO25" s="388"/>
    </row>
    <row r="26" spans="2:41" ht="64.5" customHeight="1">
      <c r="B26" s="470" t="s">
        <v>459</v>
      </c>
      <c r="C26" s="470" t="s">
        <v>47</v>
      </c>
      <c r="D26" s="470" t="s">
        <v>505</v>
      </c>
      <c r="E26" s="464" t="s">
        <v>506</v>
      </c>
      <c r="F26" s="468" t="s">
        <v>1601</v>
      </c>
      <c r="G26" s="469" t="s">
        <v>507</v>
      </c>
      <c r="H26" s="466" t="s">
        <v>508</v>
      </c>
      <c r="I26" s="467" t="s">
        <v>509</v>
      </c>
      <c r="J26" s="140"/>
      <c r="K26" s="140"/>
      <c r="L26" s="140"/>
      <c r="M26" s="140"/>
      <c r="N26" s="140"/>
      <c r="O26" s="140"/>
      <c r="P26" s="140"/>
      <c r="Q26" s="133"/>
      <c r="R26" s="133"/>
      <c r="S26" s="125"/>
      <c r="T26" s="133"/>
      <c r="U26" s="133"/>
      <c r="V26" s="133"/>
      <c r="W26" s="133"/>
      <c r="X26" s="133"/>
      <c r="Y26" s="133"/>
      <c r="Z26" s="133"/>
      <c r="AA26" s="388"/>
      <c r="AB26" s="388"/>
      <c r="AC26" s="388"/>
      <c r="AD26" s="388"/>
      <c r="AE26" s="388"/>
      <c r="AF26" s="388"/>
      <c r="AG26" s="388"/>
      <c r="AH26" s="388"/>
      <c r="AI26" s="388"/>
      <c r="AJ26" s="388"/>
      <c r="AK26" s="388"/>
      <c r="AL26" s="388"/>
      <c r="AM26" s="388"/>
      <c r="AN26" s="388"/>
      <c r="AO26" s="388"/>
    </row>
    <row r="27" spans="2:41" ht="16.899999999999999" customHeight="1">
      <c r="B27" s="384">
        <v>15</v>
      </c>
      <c r="C27" s="471" t="s">
        <v>72</v>
      </c>
      <c r="D27" s="454" t="s">
        <v>1632</v>
      </c>
      <c r="E27" s="465">
        <v>41140</v>
      </c>
      <c r="F27" s="465">
        <v>6.0119999999999996</v>
      </c>
      <c r="G27" s="465">
        <v>6.1029999999999998</v>
      </c>
      <c r="H27" s="465">
        <f>MIN(H3,I3,J3)</f>
        <v>71.12</v>
      </c>
      <c r="I27" s="465">
        <f>MIN(K3,L3)</f>
        <v>72.53</v>
      </c>
      <c r="J27" s="137"/>
      <c r="K27" s="137"/>
      <c r="L27" s="137"/>
      <c r="M27" s="137"/>
      <c r="N27" s="137"/>
      <c r="O27" s="140"/>
      <c r="P27" s="140"/>
      <c r="Q27" s="133"/>
      <c r="R27" s="133"/>
      <c r="S27" s="125"/>
      <c r="T27" s="133"/>
      <c r="U27" s="133"/>
      <c r="V27" s="133"/>
      <c r="W27" s="133"/>
      <c r="X27" s="133"/>
      <c r="Y27" s="133"/>
      <c r="Z27" s="133"/>
      <c r="AA27" s="388"/>
      <c r="AB27" s="388"/>
      <c r="AC27" s="388"/>
      <c r="AD27" s="388"/>
      <c r="AE27" s="388"/>
      <c r="AF27" s="388"/>
      <c r="AG27" s="388"/>
      <c r="AH27" s="388"/>
      <c r="AI27" s="388"/>
      <c r="AJ27" s="388"/>
      <c r="AK27" s="388"/>
      <c r="AL27" s="388"/>
      <c r="AM27" s="388"/>
      <c r="AN27" s="388"/>
      <c r="AO27" s="388"/>
    </row>
    <row r="28" spans="2:41">
      <c r="B28" s="471">
        <v>16</v>
      </c>
      <c r="C28" s="471" t="s">
        <v>73</v>
      </c>
      <c r="D28" s="454" t="s">
        <v>1636</v>
      </c>
      <c r="E28" s="465">
        <v>195200</v>
      </c>
      <c r="F28" s="465">
        <v>10.78</v>
      </c>
      <c r="G28" s="465">
        <v>10.82</v>
      </c>
      <c r="H28" s="465">
        <f t="shared" ref="H28:H48" si="0">MIN(H4,I4,J4)</f>
        <v>123.3</v>
      </c>
      <c r="I28" s="465">
        <f t="shared" ref="I28:I48" si="1">MIN(K4,L4)</f>
        <v>126.3</v>
      </c>
      <c r="J28" s="137"/>
      <c r="K28" s="137"/>
      <c r="L28" s="137"/>
      <c r="M28" s="137"/>
      <c r="N28" s="137"/>
      <c r="O28" s="140"/>
      <c r="P28" s="140"/>
      <c r="Q28" s="133"/>
      <c r="R28" s="133"/>
      <c r="S28" s="125"/>
      <c r="T28" s="133"/>
      <c r="U28" s="133"/>
      <c r="V28" s="133"/>
      <c r="W28" s="133"/>
      <c r="X28" s="133"/>
      <c r="Y28" s="133"/>
      <c r="Z28" s="133"/>
      <c r="AA28" s="388"/>
      <c r="AB28" s="388"/>
      <c r="AC28" s="388"/>
      <c r="AD28" s="388"/>
      <c r="AE28" s="388"/>
      <c r="AF28" s="388"/>
      <c r="AG28" s="388"/>
      <c r="AH28" s="388"/>
      <c r="AI28" s="388"/>
      <c r="AJ28" s="388"/>
      <c r="AK28" s="388"/>
      <c r="AL28" s="388"/>
      <c r="AM28" s="388"/>
      <c r="AN28" s="388"/>
      <c r="AO28" s="388"/>
    </row>
    <row r="29" spans="2:41">
      <c r="B29" s="384">
        <v>17</v>
      </c>
      <c r="C29" s="471" t="s">
        <v>74</v>
      </c>
      <c r="D29" s="454" t="s">
        <v>1637</v>
      </c>
      <c r="E29" s="465">
        <v>345.1</v>
      </c>
      <c r="F29" s="465">
        <v>0.31340000000000001</v>
      </c>
      <c r="G29" s="465">
        <v>0.36420000000000002</v>
      </c>
      <c r="H29" s="465">
        <f t="shared" si="0"/>
        <v>3.9969999999999999</v>
      </c>
      <c r="I29" s="465">
        <f t="shared" si="1"/>
        <v>3.9969999999999999</v>
      </c>
      <c r="J29" s="137"/>
      <c r="K29" s="137"/>
      <c r="L29" s="137"/>
      <c r="M29" s="137"/>
      <c r="N29" s="137"/>
      <c r="O29" s="140"/>
      <c r="P29" s="140"/>
      <c r="Q29" s="133"/>
      <c r="R29" s="133"/>
      <c r="S29" s="125"/>
      <c r="T29" s="133"/>
      <c r="U29" s="133"/>
      <c r="V29" s="133"/>
      <c r="W29" s="133"/>
      <c r="X29" s="133"/>
      <c r="Y29" s="133"/>
      <c r="Z29" s="133"/>
      <c r="AA29" s="388"/>
      <c r="AB29" s="388"/>
      <c r="AC29" s="388"/>
      <c r="AD29" s="388"/>
      <c r="AE29" s="388"/>
      <c r="AF29" s="388"/>
      <c r="AG29" s="388"/>
      <c r="AH29" s="388"/>
      <c r="AI29" s="388"/>
      <c r="AJ29" s="388"/>
      <c r="AK29" s="388"/>
      <c r="AL29" s="388"/>
      <c r="AM29" s="388"/>
      <c r="AN29" s="388"/>
      <c r="AO29" s="388"/>
    </row>
    <row r="30" spans="2:41">
      <c r="B30" s="471">
        <v>46</v>
      </c>
      <c r="C30" s="471" t="s">
        <v>109</v>
      </c>
      <c r="D30" s="454" t="s">
        <v>1641</v>
      </c>
      <c r="E30" s="465">
        <v>5016</v>
      </c>
      <c r="F30" s="465">
        <v>184.8</v>
      </c>
      <c r="G30" s="465">
        <v>263.60000000000002</v>
      </c>
      <c r="H30" s="465">
        <f t="shared" si="0"/>
        <v>5016</v>
      </c>
      <c r="I30" s="465">
        <f t="shared" si="1"/>
        <v>21980</v>
      </c>
      <c r="J30" s="140"/>
      <c r="K30" s="140"/>
      <c r="L30" s="140"/>
      <c r="M30" s="140"/>
      <c r="N30" s="140"/>
      <c r="O30" s="140"/>
      <c r="P30" s="140"/>
      <c r="Q30" s="133"/>
      <c r="R30" s="133"/>
      <c r="S30" s="125"/>
      <c r="T30" s="133"/>
      <c r="U30" s="133"/>
      <c r="V30" s="133"/>
      <c r="W30" s="133"/>
      <c r="X30" s="133"/>
      <c r="Y30" s="133"/>
      <c r="Z30" s="133"/>
      <c r="AA30" s="388"/>
      <c r="AB30" s="388"/>
      <c r="AC30" s="388"/>
      <c r="AD30" s="388"/>
      <c r="AE30" s="388"/>
      <c r="AF30" s="388"/>
      <c r="AG30" s="388"/>
      <c r="AH30" s="388"/>
      <c r="AI30" s="388"/>
      <c r="AJ30" s="388"/>
      <c r="AK30" s="388"/>
      <c r="AL30" s="388"/>
      <c r="AM30" s="388"/>
      <c r="AN30" s="388"/>
      <c r="AO30" s="388"/>
    </row>
    <row r="31" spans="2:41">
      <c r="B31" s="471">
        <v>42</v>
      </c>
      <c r="C31" s="471" t="s">
        <v>105</v>
      </c>
      <c r="D31" s="454" t="s">
        <v>1648</v>
      </c>
      <c r="E31" s="465">
        <v>50100</v>
      </c>
      <c r="F31" s="465">
        <v>896.5</v>
      </c>
      <c r="G31" s="465">
        <v>1329</v>
      </c>
      <c r="H31" s="465">
        <f t="shared" si="0"/>
        <v>50100</v>
      </c>
      <c r="I31" s="465">
        <f t="shared" si="1"/>
        <v>269300</v>
      </c>
      <c r="J31" s="140"/>
      <c r="K31" s="140"/>
      <c r="L31" s="140"/>
      <c r="M31" s="140"/>
      <c r="N31" s="140"/>
      <c r="O31" s="140"/>
      <c r="P31" s="140"/>
      <c r="Q31" s="133"/>
      <c r="R31" s="133"/>
      <c r="S31" s="125"/>
      <c r="T31" s="133"/>
      <c r="U31" s="133"/>
      <c r="V31" s="133"/>
      <c r="W31" s="133"/>
      <c r="X31" s="133"/>
      <c r="Y31" s="133"/>
      <c r="Z31" s="133"/>
      <c r="AA31" s="388"/>
      <c r="AB31" s="388"/>
      <c r="AC31" s="388"/>
      <c r="AD31" s="388"/>
      <c r="AE31" s="388"/>
      <c r="AF31" s="388"/>
      <c r="AG31" s="388"/>
      <c r="AH31" s="388"/>
      <c r="AI31" s="388"/>
      <c r="AJ31" s="388"/>
      <c r="AK31" s="388"/>
      <c r="AL31" s="388"/>
      <c r="AM31" s="388"/>
      <c r="AN31" s="388"/>
      <c r="AO31" s="388"/>
    </row>
    <row r="32" spans="2:41">
      <c r="B32" s="471">
        <v>43</v>
      </c>
      <c r="C32" s="471" t="s">
        <v>106</v>
      </c>
      <c r="D32" s="454" t="s">
        <v>1649</v>
      </c>
      <c r="E32" s="465">
        <v>313.7</v>
      </c>
      <c r="F32" s="465">
        <v>1.905</v>
      </c>
      <c r="G32" s="465">
        <v>2.915</v>
      </c>
      <c r="H32" s="465">
        <f t="shared" si="0"/>
        <v>313.7</v>
      </c>
      <c r="I32" s="465">
        <f t="shared" si="1"/>
        <v>281.2</v>
      </c>
      <c r="J32" s="140"/>
      <c r="K32" s="140"/>
      <c r="L32" s="140"/>
      <c r="M32" s="140"/>
      <c r="N32" s="140"/>
      <c r="O32" s="140"/>
      <c r="P32" s="140"/>
      <c r="Q32" s="133"/>
      <c r="R32" s="142"/>
      <c r="S32" s="142"/>
      <c r="T32" s="142"/>
      <c r="U32" s="133"/>
      <c r="V32" s="133"/>
      <c r="W32" s="133"/>
      <c r="X32" s="133"/>
      <c r="Y32" s="133"/>
      <c r="Z32" s="133"/>
      <c r="AA32" s="388"/>
      <c r="AB32" s="388"/>
      <c r="AC32" s="388"/>
      <c r="AD32" s="388"/>
      <c r="AE32" s="388"/>
      <c r="AF32" s="388"/>
      <c r="AG32" s="388"/>
      <c r="AH32" s="388"/>
      <c r="AI32" s="388"/>
      <c r="AJ32" s="388"/>
      <c r="AK32" s="388"/>
      <c r="AL32" s="388"/>
      <c r="AM32" s="388"/>
      <c r="AN32" s="388"/>
      <c r="AO32" s="388"/>
    </row>
    <row r="33" spans="2:41">
      <c r="B33" s="471">
        <v>36</v>
      </c>
      <c r="C33" s="471" t="s">
        <v>1611</v>
      </c>
      <c r="D33" s="454" t="s">
        <v>1652</v>
      </c>
      <c r="E33" s="465">
        <v>1501</v>
      </c>
      <c r="F33" s="465">
        <v>9.3049999999999997</v>
      </c>
      <c r="G33" s="465">
        <v>14.21</v>
      </c>
      <c r="H33" s="465">
        <f t="shared" si="0"/>
        <v>1501</v>
      </c>
      <c r="I33" s="465">
        <f t="shared" si="1"/>
        <v>4726</v>
      </c>
      <c r="J33" s="140"/>
      <c r="K33" s="140"/>
      <c r="L33" s="140"/>
      <c r="M33" s="140"/>
      <c r="N33" s="140"/>
      <c r="O33" s="140"/>
      <c r="P33" s="140"/>
      <c r="Q33" s="133"/>
      <c r="R33" s="133"/>
      <c r="S33" s="125"/>
      <c r="T33" s="133"/>
      <c r="U33" s="133"/>
      <c r="V33" s="133"/>
      <c r="W33" s="133"/>
      <c r="X33" s="133"/>
      <c r="Y33" s="133"/>
      <c r="Z33" s="133"/>
      <c r="AA33" s="388"/>
      <c r="AB33" s="388"/>
      <c r="AC33" s="388"/>
      <c r="AD33" s="388"/>
      <c r="AE33" s="388"/>
      <c r="AF33" s="388"/>
      <c r="AG33" s="388"/>
      <c r="AH33" s="388"/>
      <c r="AI33" s="388"/>
      <c r="AJ33" s="388"/>
      <c r="AK33" s="388"/>
      <c r="AL33" s="388"/>
      <c r="AM33" s="388"/>
      <c r="AN33" s="388"/>
      <c r="AO33" s="388"/>
    </row>
    <row r="34" spans="2:41">
      <c r="B34" s="471">
        <v>33</v>
      </c>
      <c r="C34" s="471" t="s">
        <v>96</v>
      </c>
      <c r="D34" s="454" t="s">
        <v>1663</v>
      </c>
      <c r="E34" s="465">
        <v>2453</v>
      </c>
      <c r="F34" s="465">
        <v>3.262</v>
      </c>
      <c r="G34" s="465">
        <v>4.8970000000000002</v>
      </c>
      <c r="H34" s="465">
        <f t="shared" si="0"/>
        <v>1056</v>
      </c>
      <c r="I34" s="465">
        <f t="shared" si="1"/>
        <v>1056</v>
      </c>
      <c r="J34" s="140"/>
      <c r="K34" s="140"/>
      <c r="L34" s="140"/>
      <c r="M34" s="140"/>
      <c r="N34" s="140"/>
      <c r="O34" s="140"/>
      <c r="P34" s="140"/>
      <c r="Q34" s="142"/>
      <c r="R34" s="142"/>
      <c r="S34" s="142"/>
      <c r="T34" s="142"/>
      <c r="U34" s="142"/>
      <c r="V34" s="133"/>
      <c r="W34" s="133"/>
      <c r="X34" s="133"/>
      <c r="Y34" s="133"/>
      <c r="Z34" s="133"/>
      <c r="AA34" s="388"/>
      <c r="AB34" s="388"/>
      <c r="AC34" s="388"/>
      <c r="AD34" s="388"/>
      <c r="AE34" s="388"/>
      <c r="AF34" s="388"/>
      <c r="AG34" s="388"/>
      <c r="AH34" s="388"/>
      <c r="AI34" s="388"/>
      <c r="AJ34" s="388"/>
      <c r="AK34" s="388"/>
      <c r="AL34" s="388"/>
      <c r="AM34" s="388"/>
      <c r="AN34" s="388"/>
      <c r="AO34" s="388"/>
    </row>
    <row r="35" spans="2:41">
      <c r="B35" s="471">
        <v>24</v>
      </c>
      <c r="C35" s="471" t="s">
        <v>119</v>
      </c>
      <c r="D35" s="516" t="s">
        <v>1833</v>
      </c>
      <c r="E35" s="465">
        <v>12.19</v>
      </c>
      <c r="F35" s="465">
        <v>0.22539999999999999</v>
      </c>
      <c r="G35" s="465">
        <v>0.7036</v>
      </c>
      <c r="H35" s="465">
        <f t="shared" si="0"/>
        <v>12.19</v>
      </c>
      <c r="I35" s="465">
        <f t="shared" si="1"/>
        <v>20.51</v>
      </c>
      <c r="J35" s="140"/>
      <c r="K35" s="140"/>
      <c r="L35" s="140"/>
      <c r="M35" s="140"/>
      <c r="N35" s="140"/>
      <c r="O35" s="140"/>
      <c r="P35" s="140"/>
      <c r="Q35" s="133"/>
      <c r="R35" s="133"/>
      <c r="S35" s="125"/>
      <c r="T35" s="133"/>
      <c r="U35" s="133"/>
      <c r="V35" s="133"/>
      <c r="W35" s="133"/>
      <c r="X35" s="133"/>
      <c r="Y35" s="133"/>
      <c r="Z35" s="133"/>
      <c r="AA35" s="388"/>
      <c r="AB35" s="388"/>
      <c r="AC35" s="388"/>
      <c r="AD35" s="388"/>
      <c r="AE35" s="388"/>
      <c r="AF35" s="388"/>
      <c r="AG35" s="388"/>
      <c r="AH35" s="388"/>
      <c r="AI35" s="388"/>
      <c r="AJ35" s="388"/>
      <c r="AK35" s="388"/>
      <c r="AL35" s="388"/>
      <c r="AM35" s="388"/>
      <c r="AN35" s="388"/>
      <c r="AO35" s="388"/>
    </row>
    <row r="36" spans="2:41">
      <c r="B36" s="471">
        <v>197</v>
      </c>
      <c r="C36" s="471" t="s">
        <v>424</v>
      </c>
      <c r="D36" s="454" t="s">
        <v>1835</v>
      </c>
      <c r="E36" s="465">
        <v>43630</v>
      </c>
      <c r="F36" s="465">
        <v>0.3357</v>
      </c>
      <c r="G36" s="465">
        <v>0.33579999999999999</v>
      </c>
      <c r="H36" s="465">
        <f t="shared" si="0"/>
        <v>3.8010000000000002</v>
      </c>
      <c r="I36" s="465">
        <f t="shared" si="1"/>
        <v>3.8969999999999998</v>
      </c>
      <c r="J36" s="140"/>
      <c r="K36" s="140"/>
      <c r="L36" s="140"/>
      <c r="M36" s="140"/>
      <c r="N36" s="140"/>
      <c r="O36" s="140"/>
      <c r="P36" s="140"/>
      <c r="Q36" s="133"/>
      <c r="R36" s="133"/>
      <c r="S36" s="125"/>
      <c r="T36" s="133"/>
      <c r="U36" s="133"/>
      <c r="V36" s="133"/>
      <c r="W36" s="133"/>
      <c r="X36" s="133"/>
      <c r="Y36" s="133"/>
      <c r="Z36" s="133"/>
      <c r="AA36" s="388"/>
      <c r="AB36" s="388"/>
      <c r="AC36" s="388"/>
      <c r="AD36" s="388"/>
      <c r="AE36" s="388"/>
      <c r="AF36" s="388"/>
      <c r="AG36" s="388"/>
      <c r="AH36" s="388"/>
      <c r="AI36" s="388"/>
      <c r="AJ36" s="388"/>
      <c r="AK36" s="388"/>
      <c r="AL36" s="388"/>
      <c r="AM36" s="388"/>
      <c r="AN36" s="388"/>
      <c r="AO36" s="388"/>
    </row>
    <row r="37" spans="2:41">
      <c r="B37" s="471">
        <v>14</v>
      </c>
      <c r="C37" s="471" t="s">
        <v>67</v>
      </c>
      <c r="D37" s="454" t="s">
        <v>1765</v>
      </c>
      <c r="E37" s="465">
        <v>297.5</v>
      </c>
      <c r="F37" s="465">
        <v>0.20569999999999999</v>
      </c>
      <c r="G37" s="465">
        <v>0.20669999999999999</v>
      </c>
      <c r="H37" s="465">
        <f t="shared" si="0"/>
        <v>2.359</v>
      </c>
      <c r="I37" s="465">
        <f t="shared" si="1"/>
        <v>2.4119999999999999</v>
      </c>
      <c r="J37" s="140"/>
      <c r="K37" s="140"/>
      <c r="L37" s="140"/>
      <c r="M37" s="140"/>
      <c r="N37" s="140"/>
      <c r="O37" s="140"/>
      <c r="P37" s="140"/>
      <c r="Q37" s="133"/>
      <c r="R37" s="133"/>
      <c r="S37" s="125"/>
      <c r="T37" s="133"/>
      <c r="U37" s="133"/>
      <c r="V37" s="133"/>
      <c r="W37" s="133"/>
      <c r="X37" s="133"/>
      <c r="Y37" s="133"/>
      <c r="Z37" s="133"/>
      <c r="AA37" s="388"/>
      <c r="AB37" s="388"/>
      <c r="AC37" s="388"/>
      <c r="AD37" s="388"/>
      <c r="AE37" s="388"/>
      <c r="AF37" s="388"/>
      <c r="AG37" s="388"/>
      <c r="AH37" s="388"/>
      <c r="AI37" s="388"/>
      <c r="AJ37" s="388"/>
      <c r="AK37" s="388"/>
      <c r="AL37" s="388"/>
      <c r="AM37" s="388"/>
      <c r="AN37" s="388"/>
      <c r="AO37" s="388"/>
    </row>
    <row r="38" spans="2:41" ht="30.6" customHeight="1">
      <c r="B38" s="471">
        <v>23</v>
      </c>
      <c r="C38" s="471" t="s">
        <v>118</v>
      </c>
      <c r="D38" s="454" t="s">
        <v>1895</v>
      </c>
      <c r="E38" s="465">
        <v>400.5</v>
      </c>
      <c r="F38" s="465">
        <v>11.76</v>
      </c>
      <c r="G38" s="465">
        <v>19.78</v>
      </c>
      <c r="H38" s="465">
        <f t="shared" si="0"/>
        <v>400.5</v>
      </c>
      <c r="I38" s="465">
        <f t="shared" si="1"/>
        <v>2316</v>
      </c>
      <c r="J38" s="444"/>
      <c r="K38" s="444"/>
      <c r="L38" s="444"/>
      <c r="M38" s="444"/>
      <c r="N38" s="444"/>
      <c r="O38" s="444"/>
      <c r="P38" s="444"/>
      <c r="Q38" s="133"/>
      <c r="R38" s="133"/>
      <c r="S38" s="125"/>
      <c r="T38" s="133"/>
      <c r="U38" s="133"/>
      <c r="V38" s="133"/>
      <c r="W38" s="133"/>
      <c r="X38" s="133"/>
      <c r="Y38" s="133"/>
      <c r="Z38" s="133"/>
      <c r="AA38" s="388"/>
      <c r="AB38" s="388"/>
      <c r="AC38" s="388"/>
      <c r="AD38" s="388"/>
      <c r="AE38" s="388"/>
      <c r="AF38" s="388"/>
      <c r="AG38" s="388"/>
      <c r="AH38" s="388"/>
      <c r="AI38" s="388"/>
      <c r="AJ38" s="388"/>
      <c r="AK38" s="388"/>
      <c r="AL38" s="388"/>
      <c r="AM38" s="388"/>
      <c r="AN38" s="388"/>
      <c r="AO38" s="388"/>
    </row>
    <row r="39" spans="2:41">
      <c r="B39" s="471">
        <v>179</v>
      </c>
      <c r="C39" s="471" t="s">
        <v>110</v>
      </c>
      <c r="D39" s="517" t="s">
        <v>1896</v>
      </c>
      <c r="E39" s="465">
        <v>28.48</v>
      </c>
      <c r="F39" s="465">
        <v>1.4630000000000001</v>
      </c>
      <c r="G39" s="465">
        <v>2.1120000000000001</v>
      </c>
      <c r="H39" s="465">
        <f t="shared" si="0"/>
        <v>28.48</v>
      </c>
      <c r="I39" s="465">
        <f t="shared" si="1"/>
        <v>66.09</v>
      </c>
      <c r="J39" s="140"/>
      <c r="K39" s="140"/>
      <c r="L39" s="140"/>
      <c r="M39" s="140"/>
      <c r="N39" s="140"/>
      <c r="O39" s="140"/>
      <c r="P39" s="140"/>
      <c r="Q39" s="133"/>
      <c r="R39" s="133"/>
      <c r="S39" s="125"/>
      <c r="T39" s="133"/>
      <c r="U39" s="133"/>
      <c r="V39" s="133"/>
      <c r="W39" s="133"/>
      <c r="X39" s="133"/>
      <c r="Y39" s="133"/>
      <c r="Z39" s="133"/>
      <c r="AA39" s="388"/>
      <c r="AB39" s="388"/>
      <c r="AC39" s="388"/>
      <c r="AD39" s="388"/>
      <c r="AE39" s="388"/>
      <c r="AF39" s="388"/>
      <c r="AG39" s="388"/>
      <c r="AH39" s="388"/>
      <c r="AI39" s="388"/>
      <c r="AJ39" s="388"/>
      <c r="AK39" s="388"/>
      <c r="AL39" s="388"/>
      <c r="AM39" s="388"/>
      <c r="AN39" s="388"/>
      <c r="AO39" s="388"/>
    </row>
    <row r="40" spans="2:41">
      <c r="B40" s="471">
        <v>21</v>
      </c>
      <c r="C40" s="471" t="s">
        <v>116</v>
      </c>
      <c r="D40" s="454" t="s">
        <v>1622</v>
      </c>
      <c r="E40" s="465">
        <v>1669</v>
      </c>
      <c r="F40" s="465">
        <v>10.83</v>
      </c>
      <c r="G40" s="465">
        <v>11.94</v>
      </c>
      <c r="H40" s="465">
        <f t="shared" si="0"/>
        <v>169.4</v>
      </c>
      <c r="I40" s="465">
        <f t="shared" si="1"/>
        <v>170.8</v>
      </c>
      <c r="J40" s="140"/>
      <c r="K40" s="140"/>
      <c r="L40" s="140"/>
      <c r="M40" s="140"/>
      <c r="N40" s="140"/>
      <c r="O40" s="140"/>
      <c r="P40" s="140"/>
      <c r="Q40" s="133"/>
      <c r="R40" s="133"/>
      <c r="S40" s="125"/>
      <c r="T40" s="133"/>
      <c r="U40" s="133"/>
      <c r="V40" s="133"/>
      <c r="W40" s="133"/>
      <c r="X40" s="133"/>
      <c r="Y40" s="133"/>
      <c r="Z40" s="133"/>
      <c r="AA40" s="388"/>
      <c r="AB40" s="388"/>
      <c r="AC40" s="388"/>
      <c r="AD40" s="388"/>
      <c r="AE40" s="388"/>
      <c r="AF40" s="388"/>
      <c r="AG40" s="388"/>
      <c r="AH40" s="388"/>
      <c r="AI40" s="388"/>
      <c r="AJ40" s="388"/>
      <c r="AK40" s="388"/>
      <c r="AL40" s="388"/>
      <c r="AM40" s="388"/>
      <c r="AN40" s="388"/>
      <c r="AO40" s="388"/>
    </row>
    <row r="41" spans="2:41">
      <c r="B41" s="471">
        <v>19</v>
      </c>
      <c r="C41" s="471" t="s">
        <v>87</v>
      </c>
      <c r="D41" s="454" t="s">
        <v>1625</v>
      </c>
      <c r="E41" s="465">
        <v>766.9</v>
      </c>
      <c r="F41" s="465">
        <v>3.0449999999999999</v>
      </c>
      <c r="G41" s="465">
        <v>3.6389999999999998</v>
      </c>
      <c r="H41" s="465">
        <f t="shared" si="0"/>
        <v>66.92</v>
      </c>
      <c r="I41" s="465">
        <f t="shared" si="1"/>
        <v>66.92</v>
      </c>
      <c r="J41" s="140"/>
      <c r="K41" s="140"/>
      <c r="L41" s="140"/>
      <c r="M41" s="140"/>
      <c r="N41" s="140"/>
      <c r="O41" s="140"/>
      <c r="P41" s="140"/>
      <c r="Q41" s="133"/>
      <c r="R41" s="133"/>
      <c r="S41" s="125"/>
      <c r="T41" s="133"/>
      <c r="U41" s="133"/>
      <c r="V41" s="133"/>
      <c r="W41" s="133"/>
      <c r="X41" s="133"/>
      <c r="Y41" s="133"/>
      <c r="Z41" s="133"/>
      <c r="AA41" s="388"/>
      <c r="AB41" s="388"/>
      <c r="AC41" s="388"/>
      <c r="AD41" s="388"/>
      <c r="AE41" s="388"/>
      <c r="AF41" s="388"/>
      <c r="AG41" s="388"/>
      <c r="AH41" s="388"/>
      <c r="AI41" s="388"/>
      <c r="AJ41" s="388"/>
      <c r="AK41" s="388"/>
      <c r="AL41" s="388"/>
      <c r="AM41" s="388"/>
      <c r="AN41" s="388"/>
      <c r="AO41" s="388"/>
    </row>
    <row r="42" spans="2:41" s="537" customFormat="1">
      <c r="B42" s="471">
        <v>12</v>
      </c>
      <c r="C42" s="471" t="s">
        <v>346</v>
      </c>
      <c r="D42" s="535" t="s">
        <v>1620</v>
      </c>
      <c r="E42" s="538">
        <v>393.6</v>
      </c>
      <c r="F42" s="538">
        <v>0.2046</v>
      </c>
      <c r="G42" s="538">
        <v>0.21909999999999999</v>
      </c>
      <c r="H42" s="465">
        <f t="shared" si="0"/>
        <v>1.99</v>
      </c>
      <c r="I42" s="465">
        <f t="shared" si="1"/>
        <v>1.99</v>
      </c>
      <c r="J42" s="140"/>
      <c r="K42" s="140"/>
      <c r="L42" s="140"/>
      <c r="M42" s="140"/>
      <c r="N42" s="140"/>
      <c r="O42" s="140"/>
      <c r="P42" s="140"/>
      <c r="Q42" s="133"/>
      <c r="R42" s="133"/>
      <c r="S42" s="125"/>
      <c r="T42" s="133"/>
      <c r="U42" s="133"/>
      <c r="V42" s="133"/>
      <c r="W42" s="133"/>
      <c r="X42" s="133"/>
      <c r="Y42" s="133"/>
      <c r="Z42" s="133"/>
      <c r="AA42" s="388"/>
      <c r="AB42" s="388"/>
      <c r="AC42" s="388"/>
      <c r="AD42" s="388"/>
      <c r="AE42" s="388"/>
      <c r="AF42" s="388"/>
      <c r="AG42" s="388"/>
      <c r="AH42" s="388"/>
      <c r="AI42" s="388"/>
      <c r="AJ42" s="388"/>
      <c r="AK42" s="388"/>
      <c r="AL42" s="388"/>
      <c r="AM42" s="388"/>
      <c r="AN42" s="388"/>
      <c r="AO42" s="388"/>
    </row>
    <row r="43" spans="2:41" s="537" customFormat="1">
      <c r="B43" s="471">
        <v>254</v>
      </c>
      <c r="C43" s="471" t="s">
        <v>1951</v>
      </c>
      <c r="D43" s="535" t="s">
        <v>1959</v>
      </c>
      <c r="E43" s="538">
        <v>21000</v>
      </c>
      <c r="F43" s="538">
        <v>2.629</v>
      </c>
      <c r="G43" s="538">
        <v>2.6509999999999998</v>
      </c>
      <c r="H43" s="465">
        <f t="shared" si="0"/>
        <v>30.61</v>
      </c>
      <c r="I43" s="465">
        <f t="shared" si="1"/>
        <v>31.13</v>
      </c>
      <c r="J43" s="140"/>
      <c r="K43" s="140"/>
      <c r="L43" s="140"/>
      <c r="M43" s="140"/>
      <c r="N43" s="140"/>
      <c r="O43" s="140"/>
      <c r="P43" s="140"/>
      <c r="Q43" s="133"/>
      <c r="R43" s="133"/>
      <c r="S43" s="125"/>
      <c r="T43" s="133"/>
      <c r="U43" s="133"/>
      <c r="V43" s="133"/>
      <c r="W43" s="133"/>
      <c r="X43" s="133"/>
      <c r="Y43" s="133"/>
      <c r="Z43" s="133"/>
      <c r="AA43" s="388"/>
      <c r="AB43" s="388"/>
      <c r="AC43" s="388"/>
      <c r="AD43" s="388"/>
      <c r="AE43" s="388"/>
      <c r="AF43" s="388"/>
      <c r="AG43" s="388"/>
      <c r="AH43" s="388"/>
      <c r="AI43" s="388"/>
      <c r="AJ43" s="388"/>
      <c r="AK43" s="388"/>
      <c r="AL43" s="388"/>
      <c r="AM43" s="388"/>
      <c r="AN43" s="388"/>
      <c r="AO43" s="388"/>
    </row>
    <row r="44" spans="2:41" s="537" customFormat="1">
      <c r="B44" s="471">
        <v>92</v>
      </c>
      <c r="C44" s="471" t="s">
        <v>370</v>
      </c>
      <c r="D44" s="535" t="s">
        <v>1630</v>
      </c>
      <c r="E44" s="538">
        <v>19290</v>
      </c>
      <c r="F44" s="538">
        <v>3.145</v>
      </c>
      <c r="G44" s="538">
        <v>3.1629999999999998</v>
      </c>
      <c r="H44" s="465">
        <f t="shared" si="0"/>
        <v>36.26</v>
      </c>
      <c r="I44" s="465">
        <f t="shared" si="1"/>
        <v>36.99</v>
      </c>
      <c r="J44" s="140"/>
      <c r="K44" s="140"/>
      <c r="L44" s="140"/>
      <c r="M44" s="140"/>
      <c r="N44" s="140"/>
      <c r="O44" s="140"/>
      <c r="P44" s="140"/>
      <c r="Q44" s="133"/>
      <c r="R44" s="133"/>
      <c r="S44" s="125"/>
      <c r="T44" s="133"/>
      <c r="U44" s="133"/>
      <c r="V44" s="133"/>
      <c r="W44" s="133"/>
      <c r="X44" s="133"/>
      <c r="Y44" s="133"/>
      <c r="Z44" s="133"/>
      <c r="AA44" s="388"/>
      <c r="AB44" s="388"/>
      <c r="AC44" s="388"/>
      <c r="AD44" s="388"/>
      <c r="AE44" s="388"/>
      <c r="AF44" s="388"/>
      <c r="AG44" s="388"/>
      <c r="AH44" s="388"/>
      <c r="AI44" s="388"/>
      <c r="AJ44" s="388"/>
      <c r="AK44" s="388"/>
      <c r="AL44" s="388"/>
      <c r="AM44" s="388"/>
      <c r="AN44" s="388"/>
      <c r="AO44" s="388"/>
    </row>
    <row r="45" spans="2:41" s="537" customFormat="1">
      <c r="B45" s="471">
        <v>93</v>
      </c>
      <c r="C45" s="471" t="s">
        <v>371</v>
      </c>
      <c r="D45" s="535" t="s">
        <v>1634</v>
      </c>
      <c r="E45" s="538">
        <v>17400</v>
      </c>
      <c r="F45" s="538">
        <v>1.387</v>
      </c>
      <c r="G45" s="538">
        <v>1.3939999999999999</v>
      </c>
      <c r="H45" s="465">
        <f t="shared" si="0"/>
        <v>15.95</v>
      </c>
      <c r="I45" s="465">
        <f t="shared" si="1"/>
        <v>16.29</v>
      </c>
      <c r="J45" s="140"/>
      <c r="K45" s="140"/>
      <c r="L45" s="140"/>
      <c r="M45" s="140"/>
      <c r="N45" s="140"/>
      <c r="O45" s="140"/>
      <c r="P45" s="140"/>
      <c r="Q45" s="133"/>
      <c r="R45" s="133"/>
      <c r="S45" s="125"/>
      <c r="T45" s="133"/>
      <c r="U45" s="133"/>
      <c r="V45" s="133"/>
      <c r="W45" s="133"/>
      <c r="X45" s="133"/>
      <c r="Y45" s="133"/>
      <c r="Z45" s="133"/>
      <c r="AA45" s="388"/>
      <c r="AB45" s="388"/>
      <c r="AC45" s="388"/>
      <c r="AD45" s="388"/>
      <c r="AE45" s="388"/>
      <c r="AF45" s="388"/>
      <c r="AG45" s="388"/>
      <c r="AH45" s="388"/>
      <c r="AI45" s="388"/>
      <c r="AJ45" s="388"/>
      <c r="AK45" s="388"/>
      <c r="AL45" s="388"/>
      <c r="AM45" s="388"/>
      <c r="AN45" s="388"/>
      <c r="AO45" s="388"/>
    </row>
    <row r="46" spans="2:41" s="537" customFormat="1">
      <c r="B46" s="471">
        <v>255</v>
      </c>
      <c r="C46" s="471" t="s">
        <v>1952</v>
      </c>
      <c r="D46" s="535" t="s">
        <v>1956</v>
      </c>
      <c r="E46" s="538">
        <v>1000000</v>
      </c>
      <c r="F46" s="538">
        <v>1.026</v>
      </c>
      <c r="G46" s="538">
        <v>1.026</v>
      </c>
      <c r="H46" s="465">
        <f t="shared" si="0"/>
        <v>11.61</v>
      </c>
      <c r="I46" s="465">
        <f t="shared" si="1"/>
        <v>11.9</v>
      </c>
      <c r="J46" s="140"/>
      <c r="K46" s="140"/>
      <c r="L46" s="140"/>
      <c r="M46" s="140"/>
      <c r="N46" s="140"/>
      <c r="O46" s="140"/>
      <c r="P46" s="140"/>
      <c r="Q46" s="133"/>
      <c r="R46" s="133"/>
      <c r="S46" s="125"/>
      <c r="T46" s="133"/>
      <c r="U46" s="133"/>
      <c r="V46" s="133"/>
      <c r="W46" s="133"/>
      <c r="X46" s="133"/>
      <c r="Y46" s="133"/>
      <c r="Z46" s="133"/>
      <c r="AA46" s="388"/>
      <c r="AB46" s="388"/>
      <c r="AC46" s="388"/>
      <c r="AD46" s="388"/>
      <c r="AE46" s="388"/>
      <c r="AF46" s="388"/>
      <c r="AG46" s="388"/>
      <c r="AH46" s="388"/>
      <c r="AI46" s="388"/>
      <c r="AJ46" s="388"/>
      <c r="AK46" s="388"/>
      <c r="AL46" s="388"/>
      <c r="AM46" s="388"/>
      <c r="AN46" s="388"/>
      <c r="AO46" s="388"/>
    </row>
    <row r="47" spans="2:41" s="537" customFormat="1">
      <c r="B47" s="471">
        <v>256</v>
      </c>
      <c r="C47" s="471" t="s">
        <v>1953</v>
      </c>
      <c r="D47" s="535" t="s">
        <v>1957</v>
      </c>
      <c r="E47" s="538">
        <v>12020</v>
      </c>
      <c r="F47" s="538">
        <v>3.0510000000000002</v>
      </c>
      <c r="G47" s="538">
        <v>3.0569999999999999</v>
      </c>
      <c r="H47" s="465">
        <f t="shared" si="0"/>
        <v>34.68</v>
      </c>
      <c r="I47" s="465">
        <f t="shared" si="1"/>
        <v>35.53</v>
      </c>
      <c r="J47" s="140"/>
      <c r="K47" s="140"/>
      <c r="L47" s="140"/>
      <c r="M47" s="140"/>
      <c r="N47" s="140"/>
      <c r="O47" s="140"/>
      <c r="P47" s="140"/>
      <c r="Q47" s="133"/>
      <c r="R47" s="133"/>
      <c r="S47" s="125"/>
      <c r="T47" s="133"/>
      <c r="U47" s="133"/>
      <c r="V47" s="133"/>
      <c r="W47" s="133"/>
      <c r="X47" s="133"/>
      <c r="Y47" s="133"/>
      <c r="Z47" s="133"/>
      <c r="AA47" s="388"/>
      <c r="AB47" s="388"/>
      <c r="AC47" s="388"/>
      <c r="AD47" s="388"/>
      <c r="AE47" s="388"/>
      <c r="AF47" s="388"/>
      <c r="AG47" s="388"/>
      <c r="AH47" s="388"/>
      <c r="AI47" s="388"/>
      <c r="AJ47" s="388"/>
      <c r="AK47" s="388"/>
      <c r="AL47" s="388"/>
      <c r="AM47" s="388"/>
      <c r="AN47" s="388"/>
      <c r="AO47" s="388"/>
    </row>
    <row r="48" spans="2:41" s="537" customFormat="1">
      <c r="B48" s="471">
        <v>257</v>
      </c>
      <c r="C48" s="471" t="s">
        <v>1954</v>
      </c>
      <c r="D48" s="535" t="s">
        <v>1958</v>
      </c>
      <c r="E48" s="538">
        <v>1000000</v>
      </c>
      <c r="F48" s="538">
        <v>1.4850000000000001</v>
      </c>
      <c r="G48" s="538">
        <v>1.4850000000000001</v>
      </c>
      <c r="H48" s="465">
        <f t="shared" si="0"/>
        <v>16.809999999999999</v>
      </c>
      <c r="I48" s="465">
        <f t="shared" si="1"/>
        <v>17.23</v>
      </c>
      <c r="J48" s="140"/>
      <c r="K48" s="140"/>
      <c r="L48" s="140"/>
      <c r="M48" s="140"/>
      <c r="N48" s="140"/>
      <c r="O48" s="140"/>
      <c r="P48" s="140"/>
      <c r="Q48" s="133"/>
      <c r="R48" s="133"/>
      <c r="S48" s="125"/>
      <c r="T48" s="133"/>
      <c r="U48" s="133"/>
      <c r="V48" s="133"/>
      <c r="W48" s="133"/>
      <c r="X48" s="133"/>
      <c r="Y48" s="133"/>
      <c r="Z48" s="133"/>
      <c r="AA48" s="388"/>
      <c r="AB48" s="388"/>
      <c r="AC48" s="388"/>
      <c r="AD48" s="388"/>
      <c r="AE48" s="388"/>
      <c r="AF48" s="388"/>
      <c r="AG48" s="388"/>
      <c r="AH48" s="388"/>
      <c r="AI48" s="388"/>
      <c r="AJ48" s="388"/>
      <c r="AK48" s="388"/>
      <c r="AL48" s="388"/>
      <c r="AM48" s="388"/>
      <c r="AN48" s="388"/>
      <c r="AO48" s="388"/>
    </row>
    <row r="49" spans="2:41">
      <c r="B49" s="384"/>
      <c r="C49" s="390"/>
      <c r="D49" s="384"/>
      <c r="E49" s="131"/>
      <c r="F49" s="140"/>
      <c r="G49" s="140"/>
      <c r="H49" s="140"/>
      <c r="I49" s="140"/>
      <c r="J49" s="140"/>
      <c r="K49" s="140"/>
      <c r="L49" s="140"/>
      <c r="M49" s="140"/>
      <c r="N49" s="140"/>
      <c r="O49" s="140"/>
      <c r="P49" s="140"/>
      <c r="Q49" s="133"/>
      <c r="R49" s="133"/>
      <c r="S49" s="125"/>
      <c r="T49" s="133"/>
      <c r="U49" s="133"/>
      <c r="V49" s="133"/>
      <c r="W49" s="133"/>
      <c r="X49" s="133"/>
      <c r="Y49" s="133"/>
      <c r="Z49" s="133"/>
      <c r="AA49" s="388"/>
      <c r="AB49" s="388"/>
      <c r="AC49" s="388"/>
      <c r="AD49" s="388"/>
      <c r="AE49" s="388"/>
      <c r="AF49" s="388"/>
      <c r="AG49" s="388"/>
      <c r="AH49" s="388"/>
      <c r="AI49" s="388"/>
      <c r="AJ49" s="388"/>
      <c r="AK49" s="388"/>
      <c r="AL49" s="388"/>
      <c r="AM49" s="388"/>
      <c r="AN49" s="388"/>
      <c r="AO49" s="388"/>
    </row>
    <row r="50" spans="2:41">
      <c r="B50" s="472" t="s">
        <v>1612</v>
      </c>
      <c r="C50" s="390"/>
      <c r="D50" s="384"/>
      <c r="E50" s="131"/>
      <c r="F50" s="140"/>
      <c r="G50" s="140"/>
      <c r="H50" s="140"/>
      <c r="I50" s="140"/>
      <c r="J50" s="140"/>
      <c r="K50" s="140"/>
      <c r="L50" s="140"/>
      <c r="M50" s="140"/>
      <c r="N50" s="140"/>
      <c r="O50" s="140"/>
      <c r="P50" s="140"/>
      <c r="Q50" s="133"/>
      <c r="R50" s="133"/>
      <c r="S50" s="125"/>
      <c r="T50" s="133"/>
      <c r="U50" s="133"/>
      <c r="V50" s="133"/>
      <c r="W50" s="133"/>
      <c r="X50" s="133"/>
      <c r="Y50" s="133"/>
      <c r="Z50" s="133"/>
      <c r="AA50" s="388"/>
      <c r="AB50" s="388"/>
      <c r="AC50" s="388"/>
      <c r="AD50" s="388"/>
      <c r="AE50" s="388"/>
      <c r="AF50" s="388"/>
      <c r="AG50" s="388"/>
      <c r="AH50" s="388"/>
      <c r="AI50" s="388"/>
      <c r="AJ50" s="388"/>
      <c r="AK50" s="388"/>
      <c r="AL50" s="388"/>
      <c r="AM50" s="388"/>
      <c r="AN50" s="388"/>
      <c r="AO50" s="388"/>
    </row>
    <row r="51" spans="2:41">
      <c r="B51" s="384"/>
      <c r="C51" s="390"/>
      <c r="D51" s="384"/>
      <c r="E51" s="131"/>
      <c r="F51" s="140"/>
      <c r="G51" s="140"/>
      <c r="H51" s="140"/>
      <c r="I51" s="140"/>
      <c r="J51" s="140"/>
      <c r="K51" s="140"/>
      <c r="L51" s="140"/>
      <c r="M51" s="140"/>
      <c r="N51" s="140"/>
      <c r="O51" s="140"/>
      <c r="P51" s="140"/>
      <c r="Q51" s="133"/>
      <c r="R51" s="133"/>
      <c r="S51" s="125"/>
      <c r="T51" s="133"/>
      <c r="U51" s="133"/>
      <c r="V51" s="133"/>
      <c r="W51" s="133"/>
      <c r="X51" s="133"/>
      <c r="Y51" s="133"/>
      <c r="Z51" s="133"/>
      <c r="AA51" s="388"/>
      <c r="AB51" s="388"/>
      <c r="AC51" s="388"/>
      <c r="AD51" s="388"/>
      <c r="AE51" s="388"/>
      <c r="AF51" s="388"/>
      <c r="AG51" s="388"/>
      <c r="AH51" s="388"/>
      <c r="AI51" s="388"/>
      <c r="AJ51" s="388"/>
      <c r="AK51" s="388"/>
      <c r="AL51" s="388"/>
      <c r="AM51" s="388"/>
      <c r="AN51" s="388"/>
      <c r="AO51" s="388"/>
    </row>
    <row r="52" spans="2:41">
      <c r="B52" s="384"/>
      <c r="C52" s="390"/>
      <c r="D52" s="384"/>
      <c r="E52" s="131"/>
      <c r="F52" s="140"/>
      <c r="G52" s="140"/>
      <c r="H52" s="140"/>
      <c r="I52" s="140"/>
      <c r="J52" s="140"/>
      <c r="K52" s="140"/>
      <c r="L52" s="140"/>
      <c r="M52" s="140"/>
      <c r="N52" s="140"/>
      <c r="O52" s="140"/>
      <c r="P52" s="140"/>
      <c r="Q52" s="133"/>
      <c r="R52" s="133"/>
      <c r="S52" s="125"/>
      <c r="T52" s="133"/>
      <c r="U52" s="133"/>
      <c r="V52" s="133"/>
      <c r="W52" s="133"/>
      <c r="X52" s="133"/>
      <c r="Y52" s="133"/>
      <c r="Z52" s="133"/>
      <c r="AA52" s="388"/>
      <c r="AB52" s="388"/>
      <c r="AC52" s="388"/>
      <c r="AD52" s="388"/>
      <c r="AE52" s="388"/>
      <c r="AF52" s="388"/>
      <c r="AG52" s="388"/>
      <c r="AH52" s="388"/>
      <c r="AI52" s="388"/>
      <c r="AJ52" s="388"/>
      <c r="AK52" s="388"/>
      <c r="AL52" s="388"/>
      <c r="AM52" s="388"/>
      <c r="AN52" s="388"/>
      <c r="AO52" s="388"/>
    </row>
    <row r="53" spans="2:41">
      <c r="B53" s="384"/>
      <c r="C53" s="390"/>
      <c r="D53" s="384"/>
      <c r="E53" s="131"/>
      <c r="F53" s="140"/>
      <c r="G53" s="140"/>
      <c r="H53" s="140"/>
      <c r="I53" s="140"/>
      <c r="J53" s="140"/>
      <c r="K53" s="140"/>
      <c r="L53" s="140"/>
      <c r="M53" s="140"/>
      <c r="N53" s="140"/>
      <c r="O53" s="140"/>
      <c r="P53" s="140"/>
      <c r="Q53" s="133"/>
      <c r="R53" s="133"/>
      <c r="S53" s="125"/>
      <c r="T53" s="133"/>
      <c r="U53" s="133"/>
      <c r="V53" s="133"/>
      <c r="W53" s="133"/>
      <c r="X53" s="133"/>
      <c r="Y53" s="133"/>
      <c r="Z53" s="133"/>
      <c r="AA53" s="388"/>
      <c r="AB53" s="388"/>
      <c r="AC53" s="388"/>
      <c r="AD53" s="388"/>
      <c r="AE53" s="388"/>
      <c r="AF53" s="388"/>
      <c r="AG53" s="388"/>
      <c r="AH53" s="388"/>
      <c r="AI53" s="388"/>
      <c r="AJ53" s="388"/>
      <c r="AK53" s="388"/>
      <c r="AL53" s="388"/>
      <c r="AM53" s="388"/>
      <c r="AN53" s="388"/>
      <c r="AO53" s="388"/>
    </row>
    <row r="54" spans="2:41">
      <c r="B54" s="384"/>
      <c r="C54" s="390"/>
      <c r="D54" s="384"/>
      <c r="E54" s="131"/>
      <c r="F54" s="140"/>
      <c r="G54" s="140"/>
      <c r="H54" s="140"/>
      <c r="I54" s="140"/>
      <c r="J54" s="140"/>
      <c r="K54" s="140"/>
      <c r="L54" s="140"/>
      <c r="M54" s="140"/>
      <c r="N54" s="140"/>
      <c r="O54" s="140"/>
      <c r="P54" s="140"/>
      <c r="Q54" s="133"/>
      <c r="R54" s="133"/>
      <c r="S54" s="125"/>
      <c r="T54" s="133"/>
      <c r="U54" s="133"/>
      <c r="V54" s="133"/>
      <c r="W54" s="133"/>
      <c r="X54" s="133"/>
      <c r="Y54" s="133"/>
      <c r="Z54" s="133"/>
      <c r="AA54" s="388"/>
      <c r="AB54" s="388"/>
      <c r="AC54" s="388"/>
      <c r="AD54" s="388"/>
      <c r="AE54" s="388"/>
      <c r="AF54" s="388"/>
      <c r="AG54" s="388"/>
      <c r="AH54" s="388"/>
      <c r="AI54" s="388"/>
      <c r="AJ54" s="388"/>
      <c r="AK54" s="388"/>
      <c r="AL54" s="388"/>
      <c r="AM54" s="388"/>
      <c r="AN54" s="388"/>
      <c r="AO54" s="388"/>
    </row>
    <row r="55" spans="2:41">
      <c r="B55" s="384"/>
      <c r="C55" s="390"/>
      <c r="D55" s="384"/>
      <c r="E55" s="131"/>
      <c r="F55" s="140"/>
      <c r="G55" s="140"/>
      <c r="H55" s="140"/>
      <c r="I55" s="140"/>
      <c r="J55" s="140"/>
      <c r="K55" s="140"/>
      <c r="L55" s="140"/>
      <c r="M55" s="140"/>
      <c r="N55" s="140"/>
      <c r="O55" s="140"/>
      <c r="P55" s="140"/>
      <c r="Q55" s="133"/>
      <c r="R55" s="133"/>
      <c r="S55" s="125"/>
      <c r="T55" s="133"/>
      <c r="U55" s="133"/>
      <c r="V55" s="133"/>
      <c r="W55" s="133"/>
      <c r="X55" s="133"/>
      <c r="Y55" s="133"/>
      <c r="Z55" s="133"/>
      <c r="AA55" s="388"/>
      <c r="AB55" s="388"/>
      <c r="AC55" s="388"/>
      <c r="AD55" s="388"/>
      <c r="AE55" s="388"/>
      <c r="AF55" s="388"/>
      <c r="AG55" s="388"/>
      <c r="AH55" s="388"/>
      <c r="AI55" s="388"/>
      <c r="AJ55" s="388"/>
      <c r="AK55" s="388"/>
      <c r="AL55" s="388"/>
      <c r="AM55" s="388"/>
      <c r="AN55" s="388"/>
      <c r="AO55" s="388"/>
    </row>
    <row r="56" spans="2:41">
      <c r="B56" s="384"/>
      <c r="C56" s="390"/>
      <c r="D56" s="384"/>
      <c r="E56" s="131"/>
      <c r="F56" s="140"/>
      <c r="G56" s="140"/>
      <c r="H56" s="140"/>
      <c r="I56" s="140"/>
      <c r="J56" s="140"/>
      <c r="K56" s="140"/>
      <c r="L56" s="140"/>
      <c r="M56" s="140"/>
      <c r="N56" s="140"/>
      <c r="O56" s="140"/>
      <c r="P56" s="140"/>
      <c r="Q56" s="133"/>
      <c r="R56" s="133"/>
      <c r="S56" s="125"/>
      <c r="T56" s="133"/>
      <c r="U56" s="133"/>
      <c r="V56" s="133"/>
      <c r="W56" s="133"/>
      <c r="X56" s="133"/>
      <c r="Y56" s="133"/>
      <c r="Z56" s="133"/>
      <c r="AA56" s="388"/>
      <c r="AB56" s="388"/>
      <c r="AC56" s="388"/>
      <c r="AD56" s="388"/>
      <c r="AE56" s="388"/>
      <c r="AF56" s="388"/>
      <c r="AG56" s="388"/>
      <c r="AH56" s="388"/>
      <c r="AI56" s="388"/>
      <c r="AJ56" s="388"/>
      <c r="AK56" s="388"/>
      <c r="AL56" s="388"/>
      <c r="AM56" s="388"/>
      <c r="AN56" s="388"/>
      <c r="AO56" s="388"/>
    </row>
    <row r="57" spans="2:41">
      <c r="B57" s="384"/>
      <c r="C57" s="390"/>
      <c r="D57" s="384"/>
      <c r="E57" s="131"/>
      <c r="F57" s="140"/>
      <c r="G57" s="140"/>
      <c r="H57" s="140"/>
      <c r="I57" s="140"/>
      <c r="J57" s="140"/>
      <c r="K57" s="140"/>
      <c r="L57" s="140"/>
      <c r="M57" s="140"/>
      <c r="N57" s="140"/>
      <c r="O57" s="140"/>
      <c r="P57" s="140"/>
      <c r="Q57" s="133"/>
      <c r="R57" s="133"/>
      <c r="S57" s="125"/>
      <c r="T57" s="133"/>
      <c r="U57" s="133"/>
      <c r="V57" s="133"/>
      <c r="W57" s="133"/>
      <c r="X57" s="133"/>
      <c r="Y57" s="133"/>
      <c r="Z57" s="133"/>
      <c r="AA57" s="388"/>
      <c r="AB57" s="388"/>
      <c r="AC57" s="388"/>
      <c r="AD57" s="388"/>
      <c r="AE57" s="388"/>
      <c r="AF57" s="388"/>
      <c r="AG57" s="388"/>
      <c r="AH57" s="388"/>
      <c r="AI57" s="388"/>
      <c r="AJ57" s="388"/>
      <c r="AK57" s="388"/>
      <c r="AL57" s="388"/>
      <c r="AM57" s="388"/>
      <c r="AN57" s="388"/>
      <c r="AO57" s="388"/>
    </row>
    <row r="58" spans="2:41">
      <c r="B58" s="384"/>
      <c r="C58" s="390"/>
      <c r="D58" s="384"/>
      <c r="E58" s="131"/>
      <c r="F58" s="140"/>
      <c r="G58" s="140"/>
      <c r="H58" s="140"/>
      <c r="I58" s="140"/>
      <c r="J58" s="140"/>
      <c r="K58" s="140"/>
      <c r="L58" s="140"/>
      <c r="M58" s="140"/>
      <c r="N58" s="140"/>
      <c r="O58" s="140"/>
      <c r="P58" s="140"/>
      <c r="Q58" s="133"/>
      <c r="R58" s="133"/>
      <c r="S58" s="125"/>
      <c r="T58" s="133"/>
      <c r="U58" s="133"/>
      <c r="V58" s="133"/>
      <c r="W58" s="133"/>
      <c r="X58" s="133"/>
      <c r="Y58" s="133"/>
      <c r="Z58" s="133"/>
      <c r="AA58" s="388"/>
      <c r="AB58" s="388"/>
      <c r="AC58" s="388"/>
      <c r="AD58" s="388"/>
      <c r="AE58" s="388"/>
      <c r="AF58" s="388"/>
      <c r="AG58" s="388"/>
      <c r="AH58" s="388"/>
      <c r="AI58" s="388"/>
      <c r="AJ58" s="388"/>
      <c r="AK58" s="388"/>
      <c r="AL58" s="388"/>
      <c r="AM58" s="388"/>
      <c r="AN58" s="388"/>
      <c r="AO58" s="388"/>
    </row>
    <row r="59" spans="2:41">
      <c r="B59" s="384"/>
      <c r="C59" s="390"/>
      <c r="D59" s="384"/>
      <c r="E59" s="131"/>
      <c r="F59" s="445"/>
      <c r="G59" s="140"/>
      <c r="H59" s="140"/>
      <c r="I59" s="140"/>
      <c r="J59" s="445"/>
      <c r="K59" s="445"/>
      <c r="L59" s="445"/>
      <c r="M59" s="445"/>
      <c r="N59" s="445"/>
      <c r="O59" s="140"/>
      <c r="P59" s="140"/>
      <c r="Q59" s="133"/>
      <c r="R59" s="133"/>
      <c r="S59" s="125"/>
      <c r="T59" s="133"/>
      <c r="U59" s="133"/>
      <c r="V59" s="133"/>
      <c r="W59" s="133"/>
      <c r="X59" s="133"/>
      <c r="Y59" s="133"/>
      <c r="Z59" s="133"/>
      <c r="AA59" s="388"/>
      <c r="AB59" s="388"/>
      <c r="AC59" s="388"/>
      <c r="AD59" s="388"/>
      <c r="AE59" s="388"/>
      <c r="AF59" s="388"/>
      <c r="AG59" s="388"/>
      <c r="AH59" s="388"/>
      <c r="AI59" s="388"/>
      <c r="AJ59" s="388"/>
      <c r="AK59" s="388"/>
      <c r="AL59" s="388"/>
      <c r="AM59" s="388"/>
      <c r="AN59" s="388"/>
      <c r="AO59" s="388"/>
    </row>
    <row r="60" spans="2:41">
      <c r="B60" s="384"/>
      <c r="C60" s="390"/>
      <c r="D60" s="384"/>
      <c r="E60" s="131"/>
      <c r="F60" s="140"/>
      <c r="G60" s="446"/>
      <c r="H60" s="446"/>
      <c r="I60" s="446"/>
      <c r="J60" s="140"/>
      <c r="K60" s="140"/>
      <c r="L60" s="140"/>
      <c r="M60" s="140"/>
      <c r="N60" s="140"/>
      <c r="O60" s="140"/>
      <c r="P60" s="140"/>
      <c r="Q60" s="133"/>
      <c r="R60" s="133"/>
      <c r="S60" s="146"/>
      <c r="T60" s="133"/>
      <c r="U60" s="133"/>
      <c r="V60" s="133"/>
      <c r="W60" s="133"/>
      <c r="X60" s="133"/>
      <c r="Y60" s="133"/>
      <c r="Z60" s="133"/>
      <c r="AA60" s="388"/>
      <c r="AB60" s="388"/>
      <c r="AC60" s="388"/>
      <c r="AD60" s="388"/>
      <c r="AE60" s="388"/>
      <c r="AF60" s="388"/>
      <c r="AG60" s="388"/>
      <c r="AH60" s="388"/>
      <c r="AI60" s="388"/>
      <c r="AJ60" s="388"/>
      <c r="AK60" s="388"/>
      <c r="AL60" s="388"/>
      <c r="AM60" s="388"/>
      <c r="AN60" s="388"/>
      <c r="AO60" s="388"/>
    </row>
    <row r="61" spans="2:41" s="148" customFormat="1">
      <c r="B61" s="384"/>
      <c r="C61" s="48"/>
      <c r="D61" s="384"/>
      <c r="E61" s="131"/>
      <c r="F61" s="140"/>
      <c r="G61" s="140"/>
      <c r="H61" s="140"/>
      <c r="I61" s="140"/>
      <c r="J61" s="140"/>
      <c r="K61" s="140"/>
      <c r="L61" s="140"/>
      <c r="M61" s="140"/>
      <c r="N61" s="140"/>
      <c r="O61" s="140"/>
      <c r="P61" s="140"/>
      <c r="Q61" s="133"/>
      <c r="R61" s="133"/>
      <c r="S61" s="125"/>
      <c r="T61" s="133"/>
      <c r="U61" s="133"/>
      <c r="V61" s="133"/>
      <c r="W61" s="133"/>
      <c r="X61" s="133"/>
      <c r="Y61" s="133"/>
      <c r="Z61" s="133"/>
      <c r="AA61" s="147"/>
      <c r="AB61" s="147"/>
      <c r="AC61" s="147"/>
      <c r="AD61" s="147"/>
      <c r="AE61" s="147"/>
      <c r="AF61" s="147"/>
      <c r="AG61" s="147"/>
      <c r="AH61" s="147"/>
      <c r="AI61" s="147"/>
      <c r="AJ61" s="147"/>
      <c r="AK61" s="147"/>
      <c r="AL61" s="147"/>
      <c r="AM61" s="147"/>
      <c r="AN61" s="147"/>
      <c r="AO61" s="147"/>
    </row>
    <row r="62" spans="2:41">
      <c r="B62" s="384"/>
      <c r="C62" s="48"/>
      <c r="D62" s="384"/>
      <c r="E62" s="131"/>
      <c r="F62" s="140"/>
      <c r="G62" s="140"/>
      <c r="H62" s="140"/>
      <c r="I62" s="140"/>
      <c r="J62" s="140"/>
      <c r="K62" s="140"/>
      <c r="L62" s="140"/>
      <c r="M62" s="140"/>
      <c r="N62" s="140"/>
      <c r="O62" s="140"/>
      <c r="P62" s="140"/>
      <c r="Q62" s="133"/>
      <c r="R62" s="133"/>
      <c r="S62" s="125"/>
      <c r="T62" s="133"/>
      <c r="U62" s="133"/>
      <c r="V62" s="133"/>
      <c r="W62" s="133"/>
      <c r="X62" s="133"/>
      <c r="Y62" s="133"/>
      <c r="Z62" s="133"/>
      <c r="AA62" s="388"/>
      <c r="AB62" s="388"/>
      <c r="AC62" s="388"/>
      <c r="AD62" s="388"/>
      <c r="AE62" s="388"/>
      <c r="AF62" s="388"/>
      <c r="AG62" s="388"/>
      <c r="AH62" s="388"/>
      <c r="AI62" s="388"/>
      <c r="AJ62" s="388"/>
      <c r="AK62" s="388"/>
      <c r="AL62" s="388"/>
      <c r="AM62" s="388"/>
      <c r="AN62" s="388"/>
      <c r="AO62" s="388"/>
    </row>
    <row r="63" spans="2:41">
      <c r="B63" s="384"/>
      <c r="C63" s="390"/>
      <c r="D63" s="384"/>
      <c r="E63" s="131"/>
      <c r="F63" s="140"/>
      <c r="G63" s="140"/>
      <c r="H63" s="140"/>
      <c r="I63" s="140"/>
      <c r="J63" s="140"/>
      <c r="K63" s="140"/>
      <c r="L63" s="140"/>
      <c r="M63" s="140"/>
      <c r="N63" s="140"/>
      <c r="O63" s="140"/>
      <c r="P63" s="140"/>
      <c r="Q63" s="133"/>
      <c r="R63" s="133"/>
      <c r="S63" s="125"/>
      <c r="T63" s="133"/>
      <c r="U63" s="133"/>
      <c r="V63" s="133"/>
      <c r="W63" s="133"/>
      <c r="X63" s="133"/>
      <c r="Y63" s="133"/>
      <c r="Z63" s="133"/>
      <c r="AA63" s="388"/>
      <c r="AB63" s="388"/>
      <c r="AC63" s="388"/>
      <c r="AD63" s="388"/>
      <c r="AE63" s="388"/>
      <c r="AF63" s="388"/>
      <c r="AG63" s="388"/>
      <c r="AH63" s="388"/>
      <c r="AI63" s="388"/>
      <c r="AJ63" s="388"/>
      <c r="AK63" s="388"/>
      <c r="AL63" s="388"/>
      <c r="AM63" s="388"/>
      <c r="AN63" s="388"/>
      <c r="AO63" s="388"/>
    </row>
    <row r="64" spans="2:41">
      <c r="B64" s="384"/>
      <c r="C64" s="390"/>
      <c r="D64" s="149"/>
      <c r="E64" s="131"/>
      <c r="F64" s="140"/>
      <c r="G64" s="140"/>
      <c r="H64" s="140"/>
      <c r="I64" s="140"/>
      <c r="J64" s="140"/>
      <c r="K64" s="140"/>
      <c r="L64" s="140"/>
      <c r="M64" s="140"/>
      <c r="N64" s="140"/>
      <c r="O64" s="140"/>
      <c r="P64" s="140"/>
      <c r="Q64" s="133"/>
      <c r="R64" s="133"/>
      <c r="S64" s="125"/>
      <c r="T64" s="133"/>
      <c r="U64" s="133"/>
      <c r="V64" s="133"/>
      <c r="W64" s="133"/>
      <c r="X64" s="133"/>
      <c r="Y64" s="133"/>
      <c r="Z64" s="133"/>
      <c r="AA64" s="388"/>
      <c r="AB64" s="388"/>
      <c r="AC64" s="388"/>
      <c r="AD64" s="388"/>
      <c r="AE64" s="388"/>
      <c r="AF64" s="388"/>
      <c r="AG64" s="388"/>
      <c r="AH64" s="388"/>
      <c r="AI64" s="388"/>
      <c r="AJ64" s="388"/>
      <c r="AK64" s="388"/>
      <c r="AL64" s="388"/>
      <c r="AM64" s="388"/>
      <c r="AN64" s="388"/>
      <c r="AO64" s="388"/>
    </row>
    <row r="65" spans="2:41">
      <c r="B65" s="384"/>
      <c r="C65" s="390"/>
      <c r="D65" s="384"/>
      <c r="E65" s="131"/>
      <c r="F65" s="447"/>
      <c r="G65" s="139"/>
      <c r="H65" s="140"/>
      <c r="I65" s="140"/>
      <c r="J65" s="140"/>
      <c r="K65" s="445"/>
      <c r="L65" s="447"/>
      <c r="M65" s="445"/>
      <c r="N65" s="445"/>
      <c r="O65" s="140"/>
      <c r="P65" s="140"/>
      <c r="Q65" s="152"/>
      <c r="R65" s="133"/>
      <c r="S65" s="142"/>
      <c r="T65" s="133"/>
      <c r="U65" s="133"/>
      <c r="V65" s="133"/>
      <c r="W65" s="152"/>
      <c r="X65" s="133"/>
      <c r="Y65" s="133"/>
      <c r="Z65" s="133"/>
      <c r="AA65" s="388"/>
      <c r="AB65" s="388"/>
      <c r="AC65" s="388"/>
      <c r="AD65" s="388"/>
      <c r="AE65" s="388"/>
      <c r="AF65" s="388"/>
      <c r="AG65" s="388"/>
      <c r="AH65" s="388"/>
      <c r="AI65" s="388"/>
      <c r="AJ65" s="388"/>
      <c r="AK65" s="388"/>
      <c r="AL65" s="388"/>
      <c r="AM65" s="388"/>
      <c r="AN65" s="388"/>
      <c r="AO65" s="388"/>
    </row>
    <row r="66" spans="2:41">
      <c r="B66" s="384"/>
      <c r="C66" s="390"/>
      <c r="D66" s="384"/>
      <c r="E66" s="131"/>
      <c r="F66" s="445"/>
      <c r="G66" s="446"/>
      <c r="H66" s="443"/>
      <c r="I66" s="443"/>
      <c r="J66" s="140"/>
      <c r="K66" s="140"/>
      <c r="L66" s="445"/>
      <c r="M66" s="140"/>
      <c r="N66" s="140"/>
      <c r="O66" s="140"/>
      <c r="P66" s="140"/>
      <c r="Q66" s="133"/>
      <c r="R66" s="133"/>
      <c r="S66" s="142"/>
      <c r="T66" s="133"/>
      <c r="U66" s="133"/>
      <c r="V66" s="133"/>
      <c r="W66" s="133"/>
      <c r="X66" s="133"/>
      <c r="Y66" s="133"/>
      <c r="Z66" s="133"/>
      <c r="AA66" s="388"/>
      <c r="AB66" s="388"/>
      <c r="AC66" s="388"/>
      <c r="AD66" s="388"/>
      <c r="AE66" s="388"/>
      <c r="AF66" s="388"/>
      <c r="AG66" s="388"/>
      <c r="AH66" s="388"/>
      <c r="AI66" s="388"/>
      <c r="AJ66" s="388"/>
      <c r="AK66" s="388"/>
      <c r="AL66" s="388"/>
      <c r="AM66" s="388"/>
      <c r="AN66" s="388"/>
      <c r="AO66" s="388"/>
    </row>
    <row r="67" spans="2:41">
      <c r="B67" s="384"/>
      <c r="C67" s="390"/>
      <c r="D67" s="384"/>
      <c r="E67" s="131"/>
      <c r="F67" s="445"/>
      <c r="G67" s="140"/>
      <c r="H67" s="140"/>
      <c r="I67" s="140"/>
      <c r="J67" s="445"/>
      <c r="K67" s="445"/>
      <c r="L67" s="445"/>
      <c r="M67" s="445"/>
      <c r="N67" s="445"/>
      <c r="O67" s="140"/>
      <c r="P67" s="140"/>
      <c r="Q67" s="152"/>
      <c r="R67" s="133"/>
      <c r="S67" s="153"/>
      <c r="T67" s="133"/>
      <c r="U67" s="152"/>
      <c r="V67" s="152"/>
      <c r="W67" s="152"/>
      <c r="X67" s="133"/>
      <c r="Y67" s="152"/>
      <c r="Z67" s="152"/>
      <c r="AA67" s="388"/>
      <c r="AB67" s="388"/>
      <c r="AC67" s="388"/>
      <c r="AD67" s="388"/>
      <c r="AE67" s="388"/>
      <c r="AF67" s="388"/>
      <c r="AG67" s="388"/>
      <c r="AH67" s="388"/>
      <c r="AI67" s="388"/>
      <c r="AJ67" s="388"/>
      <c r="AK67" s="388"/>
      <c r="AL67" s="388"/>
      <c r="AM67" s="388"/>
      <c r="AN67" s="388"/>
      <c r="AO67" s="388"/>
    </row>
    <row r="68" spans="2:41">
      <c r="B68" s="384"/>
      <c r="C68" s="390"/>
      <c r="D68" s="384"/>
      <c r="E68" s="131"/>
      <c r="F68" s="445"/>
      <c r="G68" s="140"/>
      <c r="H68" s="140"/>
      <c r="I68" s="140"/>
      <c r="J68" s="445"/>
      <c r="K68" s="445"/>
      <c r="L68" s="445"/>
      <c r="M68" s="445"/>
      <c r="N68" s="445"/>
      <c r="O68" s="140"/>
      <c r="P68" s="140"/>
      <c r="Q68" s="152"/>
      <c r="R68" s="133"/>
      <c r="S68" s="153"/>
      <c r="T68" s="133"/>
      <c r="U68" s="152"/>
      <c r="V68" s="152"/>
      <c r="W68" s="152"/>
      <c r="X68" s="133"/>
      <c r="Y68" s="152"/>
      <c r="Z68" s="152"/>
      <c r="AA68" s="388"/>
      <c r="AB68" s="388"/>
      <c r="AC68" s="388"/>
      <c r="AD68" s="388"/>
      <c r="AE68" s="388"/>
      <c r="AF68" s="388"/>
      <c r="AG68" s="388"/>
      <c r="AH68" s="388"/>
      <c r="AI68" s="388"/>
      <c r="AJ68" s="388"/>
      <c r="AK68" s="388"/>
      <c r="AL68" s="388"/>
      <c r="AM68" s="388"/>
      <c r="AN68" s="388"/>
      <c r="AO68" s="388"/>
    </row>
    <row r="69" spans="2:41">
      <c r="B69" s="384"/>
      <c r="C69" s="390"/>
      <c r="D69" s="384"/>
      <c r="E69" s="131"/>
      <c r="F69" s="140"/>
      <c r="G69" s="140"/>
      <c r="H69" s="140"/>
      <c r="I69" s="140"/>
      <c r="J69" s="140"/>
      <c r="K69" s="140"/>
      <c r="L69" s="140"/>
      <c r="M69" s="140"/>
      <c r="N69" s="140"/>
      <c r="O69" s="140"/>
      <c r="P69" s="140"/>
      <c r="Q69" s="133"/>
      <c r="R69" s="133"/>
      <c r="S69" s="142"/>
      <c r="T69" s="133"/>
      <c r="U69" s="133"/>
      <c r="V69" s="133"/>
      <c r="W69" s="133"/>
      <c r="X69" s="133"/>
      <c r="Y69" s="133"/>
      <c r="Z69" s="133"/>
      <c r="AA69" s="388"/>
      <c r="AB69" s="388"/>
      <c r="AC69" s="388"/>
      <c r="AD69" s="388"/>
      <c r="AE69" s="388"/>
      <c r="AF69" s="388"/>
      <c r="AG69" s="388"/>
      <c r="AH69" s="388"/>
      <c r="AI69" s="388"/>
      <c r="AJ69" s="388"/>
      <c r="AK69" s="388"/>
      <c r="AL69" s="388"/>
      <c r="AM69" s="388"/>
      <c r="AN69" s="388"/>
      <c r="AO69" s="388"/>
    </row>
    <row r="70" spans="2:41">
      <c r="B70" s="384"/>
      <c r="C70" s="390"/>
      <c r="D70" s="384"/>
      <c r="E70" s="131"/>
      <c r="F70" s="140"/>
      <c r="G70" s="140"/>
      <c r="H70" s="140"/>
      <c r="I70" s="140"/>
      <c r="J70" s="140"/>
      <c r="K70" s="140"/>
      <c r="L70" s="140"/>
      <c r="M70" s="140"/>
      <c r="N70" s="140"/>
      <c r="O70" s="140"/>
      <c r="P70" s="140"/>
      <c r="Q70" s="133"/>
      <c r="R70" s="133"/>
      <c r="S70" s="142"/>
      <c r="T70" s="133"/>
      <c r="U70" s="133"/>
      <c r="V70" s="133"/>
      <c r="W70" s="133"/>
      <c r="X70" s="133"/>
      <c r="Y70" s="133"/>
      <c r="Z70" s="133"/>
      <c r="AA70" s="388"/>
      <c r="AB70" s="388"/>
      <c r="AC70" s="388"/>
      <c r="AD70" s="388"/>
      <c r="AE70" s="388"/>
      <c r="AF70" s="388"/>
      <c r="AG70" s="388"/>
      <c r="AH70" s="388"/>
      <c r="AI70" s="388"/>
      <c r="AJ70" s="388"/>
      <c r="AK70" s="388"/>
      <c r="AL70" s="388"/>
      <c r="AM70" s="388"/>
      <c r="AN70" s="388"/>
      <c r="AO70" s="388"/>
    </row>
    <row r="71" spans="2:41">
      <c r="B71" s="384"/>
      <c r="C71" s="390"/>
      <c r="D71" s="384"/>
      <c r="E71" s="131"/>
      <c r="F71" s="140"/>
      <c r="G71" s="443"/>
      <c r="H71" s="140"/>
      <c r="I71" s="140"/>
      <c r="J71" s="140"/>
      <c r="K71" s="140"/>
      <c r="L71" s="140"/>
      <c r="M71" s="140"/>
      <c r="N71" s="140"/>
      <c r="O71" s="140"/>
      <c r="P71" s="140"/>
      <c r="Q71" s="133"/>
      <c r="R71" s="133"/>
      <c r="S71" s="142"/>
      <c r="T71" s="133"/>
      <c r="U71" s="133"/>
      <c r="V71" s="133"/>
      <c r="W71" s="133"/>
      <c r="X71" s="133"/>
      <c r="Y71" s="133"/>
      <c r="Z71" s="133"/>
      <c r="AA71" s="388"/>
      <c r="AB71" s="388"/>
      <c r="AC71" s="388"/>
      <c r="AD71" s="388"/>
      <c r="AE71" s="388"/>
      <c r="AF71" s="388"/>
      <c r="AG71" s="388"/>
      <c r="AH71" s="388"/>
      <c r="AI71" s="388"/>
      <c r="AJ71" s="388"/>
      <c r="AK71" s="388"/>
      <c r="AL71" s="388"/>
      <c r="AM71" s="388"/>
      <c r="AN71" s="388"/>
      <c r="AO71" s="388"/>
    </row>
    <row r="72" spans="2:41">
      <c r="B72" s="384"/>
      <c r="C72" s="390"/>
      <c r="D72" s="384"/>
      <c r="E72" s="131"/>
      <c r="F72" s="445"/>
      <c r="G72" s="140"/>
      <c r="H72" s="140"/>
      <c r="I72" s="140"/>
      <c r="J72" s="445"/>
      <c r="K72" s="445"/>
      <c r="L72" s="445"/>
      <c r="M72" s="445"/>
      <c r="N72" s="445"/>
      <c r="O72" s="140"/>
      <c r="P72" s="140"/>
      <c r="Q72" s="152"/>
      <c r="R72" s="133"/>
      <c r="S72" s="153"/>
      <c r="T72" s="133"/>
      <c r="U72" s="152"/>
      <c r="V72" s="152"/>
      <c r="W72" s="152"/>
      <c r="X72" s="133"/>
      <c r="Y72" s="152"/>
      <c r="Z72" s="152"/>
      <c r="AA72" s="388"/>
      <c r="AB72" s="388"/>
      <c r="AC72" s="388"/>
      <c r="AD72" s="388"/>
      <c r="AE72" s="388"/>
      <c r="AF72" s="388"/>
      <c r="AG72" s="388"/>
      <c r="AH72" s="388"/>
      <c r="AI72" s="388"/>
      <c r="AJ72" s="388"/>
      <c r="AK72" s="388"/>
      <c r="AL72" s="388"/>
      <c r="AM72" s="388"/>
      <c r="AN72" s="388"/>
      <c r="AO72" s="388"/>
    </row>
    <row r="73" spans="2:41">
      <c r="B73" s="384"/>
      <c r="C73" s="48"/>
      <c r="D73" s="384"/>
      <c r="E73" s="131"/>
      <c r="F73" s="445"/>
      <c r="G73" s="140"/>
      <c r="H73" s="140"/>
      <c r="I73" s="140"/>
      <c r="J73" s="445"/>
      <c r="K73" s="445"/>
      <c r="L73" s="445"/>
      <c r="M73" s="445"/>
      <c r="N73" s="445"/>
      <c r="O73" s="140"/>
      <c r="P73" s="140"/>
      <c r="Q73" s="152"/>
      <c r="R73" s="133"/>
      <c r="S73" s="153"/>
      <c r="T73" s="133"/>
      <c r="U73" s="152"/>
      <c r="V73" s="152"/>
      <c r="W73" s="152"/>
      <c r="X73" s="133"/>
      <c r="Y73" s="152"/>
      <c r="Z73" s="152"/>
      <c r="AA73" s="388"/>
      <c r="AB73" s="388"/>
      <c r="AC73" s="388"/>
      <c r="AD73" s="388"/>
      <c r="AE73" s="388"/>
      <c r="AF73" s="388"/>
      <c r="AG73" s="388"/>
      <c r="AH73" s="388"/>
      <c r="AI73" s="388"/>
      <c r="AJ73" s="388"/>
      <c r="AK73" s="388"/>
      <c r="AL73" s="388"/>
      <c r="AM73" s="388"/>
      <c r="AN73" s="388"/>
      <c r="AO73" s="388"/>
    </row>
    <row r="74" spans="2:41">
      <c r="B74" s="384"/>
      <c r="C74" s="390"/>
      <c r="D74" s="384"/>
      <c r="E74" s="131"/>
      <c r="F74" s="445"/>
      <c r="G74" s="140"/>
      <c r="H74" s="140"/>
      <c r="I74" s="140"/>
      <c r="J74" s="445"/>
      <c r="K74" s="445"/>
      <c r="L74" s="445"/>
      <c r="M74" s="445"/>
      <c r="N74" s="445"/>
      <c r="O74" s="140"/>
      <c r="P74" s="140"/>
      <c r="Q74" s="152"/>
      <c r="R74" s="133"/>
      <c r="S74" s="153"/>
      <c r="T74" s="133"/>
      <c r="U74" s="152"/>
      <c r="V74" s="152"/>
      <c r="W74" s="152"/>
      <c r="X74" s="133"/>
      <c r="Y74" s="152"/>
      <c r="Z74" s="152"/>
      <c r="AA74" s="388"/>
      <c r="AB74" s="388"/>
      <c r="AC74" s="388"/>
      <c r="AD74" s="388"/>
      <c r="AE74" s="388"/>
      <c r="AF74" s="388"/>
      <c r="AG74" s="388"/>
      <c r="AH74" s="388"/>
      <c r="AI74" s="388"/>
      <c r="AJ74" s="388"/>
      <c r="AK74" s="388"/>
      <c r="AL74" s="388"/>
      <c r="AM74" s="388"/>
      <c r="AN74" s="388"/>
      <c r="AO74" s="388"/>
    </row>
    <row r="75" spans="2:41">
      <c r="B75" s="384"/>
      <c r="C75" s="390"/>
      <c r="D75" s="384"/>
      <c r="E75" s="131"/>
      <c r="F75" s="445"/>
      <c r="G75" s="140"/>
      <c r="H75" s="140"/>
      <c r="I75" s="140"/>
      <c r="J75" s="445"/>
      <c r="K75" s="445"/>
      <c r="L75" s="445"/>
      <c r="M75" s="445"/>
      <c r="N75" s="445"/>
      <c r="O75" s="140"/>
      <c r="P75" s="140"/>
      <c r="Q75" s="152"/>
      <c r="R75" s="133"/>
      <c r="S75" s="153"/>
      <c r="T75" s="133"/>
      <c r="U75" s="152"/>
      <c r="V75" s="152"/>
      <c r="W75" s="152"/>
      <c r="X75" s="133"/>
      <c r="Y75" s="152"/>
      <c r="Z75" s="152"/>
      <c r="AA75" s="388"/>
      <c r="AB75" s="388"/>
      <c r="AC75" s="388"/>
      <c r="AD75" s="388"/>
      <c r="AE75" s="388"/>
      <c r="AF75" s="388"/>
      <c r="AG75" s="388"/>
      <c r="AH75" s="388"/>
      <c r="AI75" s="388"/>
      <c r="AJ75" s="388"/>
      <c r="AK75" s="388"/>
      <c r="AL75" s="388"/>
      <c r="AM75" s="388"/>
      <c r="AN75" s="388"/>
      <c r="AO75" s="388"/>
    </row>
    <row r="76" spans="2:41">
      <c r="B76" s="384"/>
      <c r="C76" s="390"/>
      <c r="D76" s="384"/>
      <c r="E76" s="131"/>
      <c r="F76" s="445"/>
      <c r="G76" s="140"/>
      <c r="H76" s="140"/>
      <c r="I76" s="140"/>
      <c r="J76" s="445"/>
      <c r="K76" s="445"/>
      <c r="L76" s="445"/>
      <c r="M76" s="445"/>
      <c r="N76" s="445"/>
      <c r="O76" s="140"/>
      <c r="P76" s="140"/>
      <c r="Q76" s="152"/>
      <c r="R76" s="133"/>
      <c r="S76" s="153"/>
      <c r="T76" s="133"/>
      <c r="U76" s="152"/>
      <c r="V76" s="152"/>
      <c r="W76" s="152"/>
      <c r="X76" s="133"/>
      <c r="Y76" s="152"/>
      <c r="Z76" s="152"/>
      <c r="AA76" s="388"/>
      <c r="AB76" s="388"/>
      <c r="AC76" s="388"/>
      <c r="AD76" s="388"/>
      <c r="AE76" s="388"/>
      <c r="AF76" s="388"/>
      <c r="AG76" s="388"/>
      <c r="AH76" s="388"/>
      <c r="AI76" s="388"/>
      <c r="AJ76" s="388"/>
      <c r="AK76" s="388"/>
      <c r="AL76" s="388"/>
      <c r="AM76" s="388"/>
      <c r="AN76" s="388"/>
      <c r="AO76" s="388"/>
    </row>
    <row r="77" spans="2:41">
      <c r="B77" s="384"/>
      <c r="C77" s="390"/>
      <c r="D77" s="384"/>
      <c r="E77" s="131"/>
      <c r="F77" s="445"/>
      <c r="G77" s="140"/>
      <c r="H77" s="140"/>
      <c r="I77" s="140"/>
      <c r="J77" s="445"/>
      <c r="K77" s="445"/>
      <c r="L77" s="445"/>
      <c r="M77" s="445"/>
      <c r="N77" s="445"/>
      <c r="O77" s="140"/>
      <c r="P77" s="140"/>
      <c r="Q77" s="152"/>
      <c r="R77" s="133"/>
      <c r="S77" s="153"/>
      <c r="T77" s="133"/>
      <c r="U77" s="152"/>
      <c r="V77" s="152"/>
      <c r="W77" s="152"/>
      <c r="X77" s="133"/>
      <c r="Y77" s="152"/>
      <c r="Z77" s="152"/>
      <c r="AA77" s="388"/>
      <c r="AB77" s="388"/>
      <c r="AC77" s="388"/>
      <c r="AD77" s="388"/>
      <c r="AE77" s="388"/>
      <c r="AF77" s="388"/>
      <c r="AG77" s="388"/>
      <c r="AH77" s="388"/>
      <c r="AI77" s="388"/>
      <c r="AJ77" s="388"/>
      <c r="AK77" s="388"/>
      <c r="AL77" s="388"/>
      <c r="AM77" s="388"/>
      <c r="AN77" s="388"/>
      <c r="AO77" s="388"/>
    </row>
    <row r="78" spans="2:41">
      <c r="B78" s="384"/>
      <c r="C78" s="390"/>
      <c r="D78" s="384"/>
      <c r="E78" s="131"/>
      <c r="F78" s="445"/>
      <c r="G78" s="140"/>
      <c r="H78" s="140"/>
      <c r="I78" s="140"/>
      <c r="J78" s="445"/>
      <c r="K78" s="445"/>
      <c r="L78" s="445"/>
      <c r="M78" s="445"/>
      <c r="N78" s="445"/>
      <c r="O78" s="140"/>
      <c r="P78" s="140"/>
      <c r="Q78" s="152"/>
      <c r="R78" s="133"/>
      <c r="S78" s="153"/>
      <c r="T78" s="133"/>
      <c r="U78" s="152"/>
      <c r="V78" s="152"/>
      <c r="W78" s="152"/>
      <c r="X78" s="133"/>
      <c r="Y78" s="152"/>
      <c r="Z78" s="152"/>
      <c r="AA78" s="388"/>
      <c r="AB78" s="388"/>
      <c r="AC78" s="388"/>
      <c r="AD78" s="388"/>
      <c r="AE78" s="388"/>
      <c r="AF78" s="388"/>
      <c r="AG78" s="388"/>
      <c r="AH78" s="388"/>
      <c r="AI78" s="388"/>
      <c r="AJ78" s="388"/>
      <c r="AK78" s="388"/>
      <c r="AL78" s="388"/>
      <c r="AM78" s="388"/>
      <c r="AN78" s="388"/>
      <c r="AO78" s="388"/>
    </row>
    <row r="79" spans="2:41">
      <c r="B79" s="384"/>
      <c r="C79" s="390"/>
      <c r="D79" s="384"/>
      <c r="E79" s="131"/>
      <c r="F79" s="445"/>
      <c r="G79" s="140"/>
      <c r="H79" s="140"/>
      <c r="I79" s="140"/>
      <c r="J79" s="445"/>
      <c r="K79" s="445"/>
      <c r="L79" s="445"/>
      <c r="M79" s="445"/>
      <c r="N79" s="445"/>
      <c r="O79" s="140"/>
      <c r="P79" s="140"/>
      <c r="Q79" s="152"/>
      <c r="R79" s="133"/>
      <c r="S79" s="153"/>
      <c r="T79" s="133"/>
      <c r="U79" s="152"/>
      <c r="V79" s="152"/>
      <c r="W79" s="152"/>
      <c r="X79" s="133"/>
      <c r="Y79" s="152"/>
      <c r="Z79" s="152"/>
      <c r="AA79" s="388"/>
      <c r="AB79" s="388"/>
      <c r="AC79" s="388"/>
      <c r="AD79" s="388"/>
      <c r="AE79" s="388"/>
      <c r="AF79" s="388"/>
      <c r="AG79" s="388"/>
      <c r="AH79" s="388"/>
      <c r="AI79" s="388"/>
      <c r="AJ79" s="388"/>
      <c r="AK79" s="388"/>
      <c r="AL79" s="388"/>
      <c r="AM79" s="388"/>
      <c r="AN79" s="388"/>
      <c r="AO79" s="388"/>
    </row>
    <row r="80" spans="2:41">
      <c r="B80" s="384"/>
      <c r="C80" s="390"/>
      <c r="D80" s="384"/>
      <c r="E80" s="131"/>
      <c r="F80" s="445"/>
      <c r="G80" s="140"/>
      <c r="H80" s="140"/>
      <c r="I80" s="140"/>
      <c r="J80" s="445"/>
      <c r="K80" s="445"/>
      <c r="L80" s="445"/>
      <c r="M80" s="445"/>
      <c r="N80" s="445"/>
      <c r="O80" s="140"/>
      <c r="P80" s="140"/>
      <c r="Q80" s="152"/>
      <c r="R80" s="133"/>
      <c r="S80" s="153"/>
      <c r="T80" s="133"/>
      <c r="U80" s="152"/>
      <c r="V80" s="152"/>
      <c r="W80" s="152"/>
      <c r="X80" s="133"/>
      <c r="Y80" s="152"/>
      <c r="Z80" s="152"/>
      <c r="AA80" s="388"/>
      <c r="AB80" s="388"/>
      <c r="AC80" s="388"/>
      <c r="AD80" s="388"/>
      <c r="AE80" s="388"/>
      <c r="AF80" s="388"/>
      <c r="AG80" s="388"/>
      <c r="AH80" s="388"/>
      <c r="AI80" s="388"/>
      <c r="AJ80" s="388"/>
      <c r="AK80" s="388"/>
      <c r="AL80" s="388"/>
      <c r="AM80" s="388"/>
      <c r="AN80" s="388"/>
      <c r="AO80" s="388"/>
    </row>
    <row r="81" spans="2:41">
      <c r="B81" s="384"/>
      <c r="C81" s="390"/>
      <c r="D81" s="384"/>
      <c r="E81" s="131"/>
      <c r="F81" s="445"/>
      <c r="G81" s="140"/>
      <c r="H81" s="140"/>
      <c r="I81" s="140"/>
      <c r="J81" s="445"/>
      <c r="K81" s="445"/>
      <c r="L81" s="445"/>
      <c r="M81" s="445"/>
      <c r="N81" s="445"/>
      <c r="O81" s="140"/>
      <c r="P81" s="140"/>
      <c r="Q81" s="152"/>
      <c r="R81" s="133"/>
      <c r="S81" s="153"/>
      <c r="T81" s="133"/>
      <c r="U81" s="152"/>
      <c r="V81" s="152"/>
      <c r="W81" s="152"/>
      <c r="X81" s="133"/>
      <c r="Y81" s="152"/>
      <c r="Z81" s="152"/>
      <c r="AA81" s="388"/>
      <c r="AB81" s="388"/>
      <c r="AC81" s="388"/>
      <c r="AD81" s="388"/>
      <c r="AE81" s="388"/>
      <c r="AF81" s="388"/>
      <c r="AG81" s="388"/>
      <c r="AH81" s="388"/>
      <c r="AI81" s="388"/>
      <c r="AJ81" s="388"/>
      <c r="AK81" s="388"/>
      <c r="AL81" s="388"/>
      <c r="AM81" s="388"/>
      <c r="AN81" s="388"/>
      <c r="AO81" s="388"/>
    </row>
    <row r="82" spans="2:41">
      <c r="B82" s="384"/>
      <c r="C82" s="390"/>
      <c r="D82" s="384"/>
      <c r="E82" s="131"/>
      <c r="F82" s="139"/>
      <c r="G82" s="140"/>
      <c r="H82" s="140"/>
      <c r="I82" s="140"/>
      <c r="J82" s="139"/>
      <c r="K82" s="139"/>
      <c r="L82" s="139"/>
      <c r="M82" s="139"/>
      <c r="N82" s="139"/>
      <c r="O82" s="140"/>
      <c r="P82" s="140"/>
      <c r="Q82" s="154"/>
      <c r="R82" s="133"/>
      <c r="S82" s="153"/>
      <c r="T82" s="133"/>
      <c r="U82" s="154"/>
      <c r="V82" s="154"/>
      <c r="W82" s="154"/>
      <c r="X82" s="133"/>
      <c r="Y82" s="154"/>
      <c r="Z82" s="154"/>
      <c r="AA82" s="388"/>
      <c r="AB82" s="388"/>
      <c r="AC82" s="388"/>
      <c r="AD82" s="388"/>
      <c r="AE82" s="388"/>
      <c r="AF82" s="388"/>
      <c r="AG82" s="388"/>
      <c r="AH82" s="388"/>
      <c r="AI82" s="388"/>
      <c r="AJ82" s="388"/>
      <c r="AK82" s="388"/>
      <c r="AL82" s="388"/>
      <c r="AM82" s="388"/>
      <c r="AN82" s="388"/>
      <c r="AO82" s="388"/>
    </row>
    <row r="83" spans="2:41">
      <c r="B83" s="384"/>
      <c r="C83" s="390"/>
      <c r="D83" s="384"/>
      <c r="E83" s="131"/>
      <c r="F83" s="445"/>
      <c r="G83" s="140"/>
      <c r="H83" s="140"/>
      <c r="I83" s="140"/>
      <c r="J83" s="140"/>
      <c r="K83" s="140"/>
      <c r="L83" s="445"/>
      <c r="M83" s="140"/>
      <c r="N83" s="140"/>
      <c r="O83" s="140"/>
      <c r="P83" s="140"/>
      <c r="Q83" s="152"/>
      <c r="R83" s="133"/>
      <c r="S83" s="153"/>
      <c r="T83" s="133"/>
      <c r="U83" s="133"/>
      <c r="V83" s="133"/>
      <c r="W83" s="152"/>
      <c r="X83" s="133"/>
      <c r="Y83" s="133"/>
      <c r="Z83" s="154"/>
      <c r="AA83" s="388"/>
      <c r="AB83" s="388"/>
      <c r="AC83" s="388"/>
      <c r="AD83" s="388"/>
      <c r="AE83" s="388"/>
      <c r="AF83" s="388"/>
      <c r="AG83" s="388"/>
      <c r="AH83" s="388"/>
      <c r="AI83" s="388"/>
      <c r="AJ83" s="388"/>
      <c r="AK83" s="388"/>
      <c r="AL83" s="388"/>
      <c r="AM83" s="388"/>
      <c r="AN83" s="388"/>
      <c r="AO83" s="388"/>
    </row>
    <row r="84" spans="2:41">
      <c r="B84" s="384"/>
      <c r="C84" s="390"/>
      <c r="D84" s="384"/>
      <c r="E84" s="131"/>
      <c r="F84" s="445"/>
      <c r="G84" s="140"/>
      <c r="H84" s="140"/>
      <c r="I84" s="140"/>
      <c r="J84" s="140"/>
      <c r="K84" s="139"/>
      <c r="L84" s="445"/>
      <c r="M84" s="139"/>
      <c r="N84" s="139"/>
      <c r="O84" s="140"/>
      <c r="P84" s="140"/>
      <c r="Q84" s="152"/>
      <c r="R84" s="133"/>
      <c r="S84" s="153"/>
      <c r="T84" s="133"/>
      <c r="U84" s="154"/>
      <c r="V84" s="154"/>
      <c r="W84" s="152"/>
      <c r="X84" s="133"/>
      <c r="Y84" s="154"/>
      <c r="Z84" s="152"/>
      <c r="AA84" s="388"/>
      <c r="AB84" s="388"/>
      <c r="AC84" s="388"/>
      <c r="AD84" s="388"/>
      <c r="AE84" s="388"/>
      <c r="AF84" s="388"/>
      <c r="AG84" s="388"/>
      <c r="AH84" s="388"/>
      <c r="AI84" s="388"/>
      <c r="AJ84" s="388"/>
      <c r="AK84" s="388"/>
      <c r="AL84" s="388"/>
      <c r="AM84" s="388"/>
      <c r="AN84" s="388"/>
      <c r="AO84" s="388"/>
    </row>
    <row r="85" spans="2:41">
      <c r="B85" s="384"/>
      <c r="C85" s="390"/>
      <c r="D85" s="384"/>
      <c r="E85" s="155"/>
      <c r="F85" s="445"/>
      <c r="G85" s="140"/>
      <c r="H85" s="140"/>
      <c r="I85" s="140"/>
      <c r="J85" s="140"/>
      <c r="K85" s="139"/>
      <c r="L85" s="445"/>
      <c r="M85" s="139"/>
      <c r="N85" s="445"/>
      <c r="O85" s="140"/>
      <c r="P85" s="140"/>
      <c r="Q85" s="152"/>
      <c r="R85" s="133"/>
      <c r="S85" s="153"/>
      <c r="T85" s="133"/>
      <c r="U85" s="154"/>
      <c r="V85" s="154"/>
      <c r="W85" s="152"/>
      <c r="X85" s="133"/>
      <c r="Y85" s="154"/>
      <c r="Z85" s="152"/>
      <c r="AA85" s="388"/>
      <c r="AB85" s="388"/>
      <c r="AC85" s="388"/>
      <c r="AD85" s="388"/>
      <c r="AE85" s="388"/>
      <c r="AF85" s="388"/>
      <c r="AG85" s="388"/>
      <c r="AH85" s="388"/>
      <c r="AI85" s="388"/>
      <c r="AJ85" s="388"/>
      <c r="AK85" s="388"/>
      <c r="AL85" s="388"/>
      <c r="AM85" s="388"/>
      <c r="AN85" s="388"/>
      <c r="AO85" s="388"/>
    </row>
    <row r="86" spans="2:41">
      <c r="B86" s="384"/>
      <c r="C86" s="390"/>
      <c r="D86" s="384"/>
      <c r="E86" s="155"/>
      <c r="F86" s="445"/>
      <c r="G86" s="140"/>
      <c r="H86" s="140"/>
      <c r="I86" s="446"/>
      <c r="J86" s="139"/>
      <c r="K86" s="139"/>
      <c r="L86" s="445"/>
      <c r="M86" s="139"/>
      <c r="N86" s="445"/>
      <c r="O86" s="140"/>
      <c r="P86" s="140"/>
      <c r="Q86" s="152"/>
      <c r="R86" s="133"/>
      <c r="S86" s="153"/>
      <c r="T86" s="133"/>
      <c r="U86" s="154"/>
      <c r="V86" s="154"/>
      <c r="W86" s="152"/>
      <c r="X86" s="133"/>
      <c r="Y86" s="154"/>
      <c r="Z86" s="152"/>
      <c r="AA86" s="388"/>
      <c r="AB86" s="388"/>
      <c r="AC86" s="388"/>
      <c r="AD86" s="388"/>
      <c r="AE86" s="388"/>
      <c r="AF86" s="388"/>
      <c r="AG86" s="388"/>
      <c r="AH86" s="388"/>
      <c r="AI86" s="388"/>
      <c r="AJ86" s="388"/>
      <c r="AK86" s="388"/>
      <c r="AL86" s="388"/>
      <c r="AM86" s="388"/>
      <c r="AN86" s="388"/>
      <c r="AO86" s="388"/>
    </row>
    <row r="87" spans="2:41">
      <c r="B87" s="384"/>
      <c r="C87" s="394"/>
      <c r="D87" s="384"/>
      <c r="E87" s="156"/>
      <c r="F87" s="445"/>
      <c r="G87" s="140"/>
      <c r="H87" s="140"/>
      <c r="I87" s="446"/>
      <c r="J87" s="139"/>
      <c r="K87" s="139"/>
      <c r="L87" s="445"/>
      <c r="M87" s="139"/>
      <c r="N87" s="445"/>
      <c r="O87" s="140"/>
      <c r="P87" s="140"/>
      <c r="Q87" s="152"/>
      <c r="R87" s="133"/>
      <c r="S87" s="153"/>
      <c r="T87" s="133"/>
      <c r="U87" s="154"/>
      <c r="V87" s="154"/>
      <c r="W87" s="152"/>
      <c r="X87" s="133"/>
      <c r="Y87" s="154"/>
      <c r="Z87" s="152"/>
      <c r="AA87" s="388"/>
      <c r="AB87" s="388"/>
      <c r="AC87" s="388"/>
      <c r="AD87" s="388"/>
      <c r="AE87" s="388"/>
      <c r="AF87" s="388"/>
      <c r="AG87" s="388"/>
      <c r="AH87" s="388"/>
      <c r="AI87" s="388"/>
      <c r="AJ87" s="388"/>
      <c r="AK87" s="388"/>
      <c r="AL87" s="388"/>
      <c r="AM87" s="388"/>
      <c r="AN87" s="388"/>
      <c r="AO87" s="388"/>
    </row>
    <row r="88" spans="2:41">
      <c r="B88" s="384"/>
      <c r="C88" s="390"/>
      <c r="D88" s="384"/>
      <c r="E88" s="155"/>
      <c r="F88" s="445"/>
      <c r="G88" s="140"/>
      <c r="H88" s="140"/>
      <c r="I88" s="140"/>
      <c r="J88" s="140"/>
      <c r="K88" s="139"/>
      <c r="L88" s="445"/>
      <c r="M88" s="140"/>
      <c r="N88" s="139"/>
      <c r="O88" s="140"/>
      <c r="P88" s="140"/>
      <c r="Q88" s="152"/>
      <c r="R88" s="133"/>
      <c r="S88" s="153"/>
      <c r="T88" s="133"/>
      <c r="U88" s="154"/>
      <c r="V88" s="154"/>
      <c r="W88" s="152"/>
      <c r="X88" s="133"/>
      <c r="Y88" s="154"/>
      <c r="Z88" s="152"/>
      <c r="AA88" s="388"/>
      <c r="AB88" s="388"/>
      <c r="AC88" s="388"/>
      <c r="AD88" s="388"/>
      <c r="AE88" s="388"/>
      <c r="AF88" s="388"/>
      <c r="AG88" s="388"/>
      <c r="AH88" s="388"/>
      <c r="AI88" s="388"/>
      <c r="AJ88" s="388"/>
      <c r="AK88" s="388"/>
      <c r="AL88" s="388"/>
      <c r="AM88" s="388"/>
      <c r="AN88" s="388"/>
      <c r="AO88" s="388"/>
    </row>
    <row r="89" spans="2:41">
      <c r="B89" s="384"/>
      <c r="C89" s="394"/>
      <c r="D89" s="384"/>
      <c r="E89" s="156"/>
      <c r="F89" s="445"/>
      <c r="G89" s="140"/>
      <c r="H89" s="140"/>
      <c r="I89" s="140"/>
      <c r="J89" s="140"/>
      <c r="K89" s="139"/>
      <c r="L89" s="445"/>
      <c r="M89" s="140"/>
      <c r="N89" s="139"/>
      <c r="O89" s="140"/>
      <c r="P89" s="140"/>
      <c r="Q89" s="152"/>
      <c r="R89" s="133"/>
      <c r="S89" s="153"/>
      <c r="T89" s="133"/>
      <c r="U89" s="154"/>
      <c r="V89" s="154"/>
      <c r="W89" s="152"/>
      <c r="X89" s="133"/>
      <c r="Y89" s="154"/>
      <c r="Z89" s="152"/>
      <c r="AA89" s="388"/>
      <c r="AB89" s="388"/>
      <c r="AC89" s="388"/>
      <c r="AD89" s="388"/>
      <c r="AE89" s="388"/>
      <c r="AF89" s="388"/>
      <c r="AG89" s="388"/>
      <c r="AH89" s="388"/>
      <c r="AI89" s="388"/>
      <c r="AJ89" s="388"/>
      <c r="AK89" s="388"/>
      <c r="AL89" s="388"/>
      <c r="AM89" s="388"/>
      <c r="AN89" s="388"/>
      <c r="AO89" s="388"/>
    </row>
    <row r="90" spans="2:41">
      <c r="B90" s="384"/>
      <c r="C90" s="390"/>
      <c r="D90" s="384"/>
      <c r="E90" s="155"/>
      <c r="F90" s="445"/>
      <c r="G90" s="140"/>
      <c r="H90" s="140"/>
      <c r="I90" s="140"/>
      <c r="J90" s="140"/>
      <c r="K90" s="139"/>
      <c r="L90" s="445"/>
      <c r="M90" s="139"/>
      <c r="N90" s="445"/>
      <c r="O90" s="140"/>
      <c r="P90" s="140"/>
      <c r="Q90" s="152"/>
      <c r="R90" s="133"/>
      <c r="S90" s="153"/>
      <c r="T90" s="133"/>
      <c r="U90" s="154"/>
      <c r="V90" s="154"/>
      <c r="W90" s="152"/>
      <c r="X90" s="133"/>
      <c r="Y90" s="154"/>
      <c r="Z90" s="152"/>
      <c r="AA90" s="388"/>
      <c r="AB90" s="388"/>
      <c r="AC90" s="388"/>
      <c r="AD90" s="388"/>
      <c r="AE90" s="388"/>
      <c r="AF90" s="388"/>
      <c r="AG90" s="388"/>
      <c r="AH90" s="388"/>
      <c r="AI90" s="388"/>
      <c r="AJ90" s="388"/>
      <c r="AK90" s="388"/>
      <c r="AL90" s="388"/>
      <c r="AM90" s="388"/>
      <c r="AN90" s="388"/>
      <c r="AO90" s="388"/>
    </row>
    <row r="91" spans="2:41">
      <c r="B91" s="384"/>
      <c r="C91" s="394"/>
      <c r="D91" s="384"/>
      <c r="E91" s="156"/>
      <c r="F91" s="445"/>
      <c r="G91" s="140"/>
      <c r="H91" s="140"/>
      <c r="I91" s="140"/>
      <c r="J91" s="140"/>
      <c r="K91" s="139"/>
      <c r="L91" s="445"/>
      <c r="M91" s="139"/>
      <c r="N91" s="445"/>
      <c r="O91" s="140"/>
      <c r="P91" s="140"/>
      <c r="Q91" s="152"/>
      <c r="R91" s="133"/>
      <c r="S91" s="153"/>
      <c r="T91" s="133"/>
      <c r="U91" s="154"/>
      <c r="V91" s="154"/>
      <c r="W91" s="152"/>
      <c r="X91" s="133"/>
      <c r="Y91" s="154"/>
      <c r="Z91" s="152"/>
      <c r="AA91" s="388"/>
      <c r="AB91" s="388"/>
      <c r="AC91" s="388"/>
      <c r="AD91" s="388"/>
      <c r="AE91" s="388"/>
      <c r="AF91" s="388"/>
      <c r="AG91" s="388"/>
      <c r="AH91" s="388"/>
      <c r="AI91" s="388"/>
      <c r="AJ91" s="388"/>
      <c r="AK91" s="388"/>
      <c r="AL91" s="388"/>
      <c r="AM91" s="388"/>
      <c r="AN91" s="388"/>
      <c r="AO91" s="388"/>
    </row>
    <row r="92" spans="2:41">
      <c r="B92" s="384"/>
      <c r="C92" s="390"/>
      <c r="D92" s="384"/>
      <c r="E92" s="155"/>
      <c r="F92" s="445"/>
      <c r="G92" s="140"/>
      <c r="H92" s="140"/>
      <c r="I92" s="140"/>
      <c r="J92" s="139"/>
      <c r="K92" s="139"/>
      <c r="L92" s="445"/>
      <c r="M92" s="139"/>
      <c r="N92" s="445"/>
      <c r="O92" s="140"/>
      <c r="P92" s="140"/>
      <c r="Q92" s="152"/>
      <c r="R92" s="133"/>
      <c r="S92" s="153"/>
      <c r="T92" s="133"/>
      <c r="U92" s="154"/>
      <c r="V92" s="154"/>
      <c r="W92" s="152"/>
      <c r="X92" s="133"/>
      <c r="Y92" s="154"/>
      <c r="Z92" s="152"/>
      <c r="AA92" s="388"/>
      <c r="AB92" s="388"/>
      <c r="AC92" s="388"/>
      <c r="AD92" s="388"/>
      <c r="AE92" s="388"/>
      <c r="AF92" s="388"/>
      <c r="AG92" s="388"/>
      <c r="AH92" s="388"/>
      <c r="AI92" s="388"/>
      <c r="AJ92" s="388"/>
      <c r="AK92" s="388"/>
      <c r="AL92" s="388"/>
      <c r="AM92" s="388"/>
      <c r="AN92" s="388"/>
      <c r="AO92" s="388"/>
    </row>
    <row r="93" spans="2:41">
      <c r="B93" s="384"/>
      <c r="C93" s="394"/>
      <c r="D93" s="384"/>
      <c r="E93" s="156"/>
      <c r="F93" s="445"/>
      <c r="G93" s="140"/>
      <c r="H93" s="140"/>
      <c r="I93" s="140"/>
      <c r="J93" s="139"/>
      <c r="K93" s="139"/>
      <c r="L93" s="445"/>
      <c r="M93" s="139"/>
      <c r="N93" s="445"/>
      <c r="O93" s="140"/>
      <c r="P93" s="140"/>
      <c r="Q93" s="152"/>
      <c r="R93" s="133"/>
      <c r="S93" s="153"/>
      <c r="T93" s="133"/>
      <c r="U93" s="154"/>
      <c r="V93" s="154"/>
      <c r="W93" s="152"/>
      <c r="X93" s="133"/>
      <c r="Y93" s="154"/>
      <c r="Z93" s="152"/>
      <c r="AA93" s="388"/>
      <c r="AB93" s="388"/>
      <c r="AC93" s="388"/>
      <c r="AD93" s="388"/>
      <c r="AE93" s="388"/>
      <c r="AF93" s="388"/>
      <c r="AG93" s="388"/>
      <c r="AH93" s="388"/>
      <c r="AI93" s="388"/>
      <c r="AJ93" s="388"/>
      <c r="AK93" s="388"/>
      <c r="AL93" s="388"/>
      <c r="AM93" s="388"/>
      <c r="AN93" s="388"/>
      <c r="AO93" s="388"/>
    </row>
    <row r="94" spans="2:41">
      <c r="B94" s="384"/>
      <c r="C94" s="390"/>
      <c r="D94" s="384"/>
      <c r="E94" s="155"/>
      <c r="F94" s="445"/>
      <c r="G94" s="140"/>
      <c r="H94" s="140"/>
      <c r="I94" s="140"/>
      <c r="J94" s="139"/>
      <c r="K94" s="139"/>
      <c r="L94" s="445"/>
      <c r="M94" s="139"/>
      <c r="N94" s="445"/>
      <c r="O94" s="140"/>
      <c r="P94" s="140"/>
      <c r="Q94" s="152"/>
      <c r="R94" s="133"/>
      <c r="S94" s="153"/>
      <c r="T94" s="133"/>
      <c r="U94" s="154"/>
      <c r="V94" s="154"/>
      <c r="W94" s="152"/>
      <c r="X94" s="133"/>
      <c r="Y94" s="154"/>
      <c r="Z94" s="152"/>
      <c r="AA94" s="388"/>
      <c r="AB94" s="388"/>
      <c r="AC94" s="388"/>
      <c r="AD94" s="388"/>
      <c r="AE94" s="388"/>
      <c r="AF94" s="388"/>
      <c r="AG94" s="388"/>
      <c r="AH94" s="388"/>
      <c r="AI94" s="388"/>
      <c r="AJ94" s="388"/>
      <c r="AK94" s="388"/>
      <c r="AL94" s="388"/>
      <c r="AM94" s="388"/>
      <c r="AN94" s="388"/>
      <c r="AO94" s="388"/>
    </row>
    <row r="95" spans="2:41">
      <c r="B95" s="384"/>
      <c r="C95" s="390"/>
      <c r="D95" s="384"/>
      <c r="E95" s="155"/>
      <c r="F95" s="445"/>
      <c r="G95" s="140"/>
      <c r="H95" s="140"/>
      <c r="I95" s="140"/>
      <c r="J95" s="139"/>
      <c r="K95" s="139"/>
      <c r="L95" s="445"/>
      <c r="M95" s="139"/>
      <c r="N95" s="445"/>
      <c r="O95" s="140"/>
      <c r="P95" s="140"/>
      <c r="Q95" s="152"/>
      <c r="R95" s="133"/>
      <c r="S95" s="153"/>
      <c r="T95" s="133"/>
      <c r="U95" s="154"/>
      <c r="V95" s="154"/>
      <c r="W95" s="152"/>
      <c r="X95" s="133"/>
      <c r="Y95" s="154"/>
      <c r="Z95" s="152"/>
      <c r="AA95" s="388"/>
      <c r="AB95" s="388"/>
      <c r="AC95" s="388"/>
      <c r="AD95" s="388"/>
      <c r="AE95" s="388"/>
      <c r="AF95" s="388"/>
      <c r="AG95" s="388"/>
      <c r="AH95" s="388"/>
      <c r="AI95" s="388"/>
      <c r="AJ95" s="388"/>
      <c r="AK95" s="388"/>
      <c r="AL95" s="388"/>
      <c r="AM95" s="388"/>
      <c r="AN95" s="388"/>
      <c r="AO95" s="388"/>
    </row>
    <row r="96" spans="2:41">
      <c r="B96" s="384"/>
      <c r="C96" s="390"/>
      <c r="D96" s="384"/>
      <c r="E96" s="155"/>
      <c r="F96" s="445"/>
      <c r="G96" s="140"/>
      <c r="H96" s="140"/>
      <c r="I96" s="140"/>
      <c r="J96" s="139"/>
      <c r="K96" s="139"/>
      <c r="L96" s="445"/>
      <c r="M96" s="139"/>
      <c r="N96" s="445"/>
      <c r="O96" s="140"/>
      <c r="P96" s="140"/>
      <c r="Q96" s="152"/>
      <c r="R96" s="133"/>
      <c r="S96" s="153"/>
      <c r="T96" s="133"/>
      <c r="U96" s="154"/>
      <c r="V96" s="154"/>
      <c r="W96" s="152"/>
      <c r="X96" s="133"/>
      <c r="Y96" s="154"/>
      <c r="Z96" s="152"/>
      <c r="AA96" s="388"/>
      <c r="AB96" s="388"/>
      <c r="AC96" s="388"/>
      <c r="AD96" s="388"/>
      <c r="AE96" s="388"/>
      <c r="AF96" s="388"/>
      <c r="AG96" s="388"/>
      <c r="AH96" s="388"/>
      <c r="AI96" s="388"/>
      <c r="AJ96" s="388"/>
      <c r="AK96" s="388"/>
      <c r="AL96" s="388"/>
      <c r="AM96" s="388"/>
      <c r="AN96" s="388"/>
      <c r="AO96" s="388"/>
    </row>
    <row r="97" spans="2:41">
      <c r="B97" s="384"/>
      <c r="C97" s="390"/>
      <c r="D97" s="384"/>
      <c r="E97" s="155"/>
      <c r="F97" s="447"/>
      <c r="G97" s="140"/>
      <c r="H97" s="140"/>
      <c r="I97" s="140"/>
      <c r="J97" s="139"/>
      <c r="K97" s="139"/>
      <c r="L97" s="447"/>
      <c r="M97" s="139"/>
      <c r="N97" s="445"/>
      <c r="O97" s="140"/>
      <c r="P97" s="140"/>
      <c r="Q97" s="152"/>
      <c r="R97" s="154"/>
      <c r="S97" s="153"/>
      <c r="T97" s="133"/>
      <c r="U97" s="154"/>
      <c r="V97" s="154"/>
      <c r="W97" s="152"/>
      <c r="X97" s="133"/>
      <c r="Y97" s="154"/>
      <c r="Z97" s="152"/>
      <c r="AA97" s="388"/>
      <c r="AB97" s="388"/>
      <c r="AC97" s="388"/>
      <c r="AD97" s="388"/>
      <c r="AE97" s="388"/>
      <c r="AF97" s="388"/>
      <c r="AG97" s="388"/>
      <c r="AH97" s="388"/>
      <c r="AI97" s="388"/>
      <c r="AJ97" s="388"/>
      <c r="AK97" s="388"/>
      <c r="AL97" s="388"/>
      <c r="AM97" s="388"/>
      <c r="AN97" s="388"/>
      <c r="AO97" s="388"/>
    </row>
    <row r="98" spans="2:41">
      <c r="B98" s="384"/>
      <c r="C98" s="390"/>
      <c r="D98" s="384"/>
      <c r="E98" s="155"/>
      <c r="F98" s="445"/>
      <c r="G98" s="140"/>
      <c r="H98" s="140"/>
      <c r="I98" s="140"/>
      <c r="J98" s="139"/>
      <c r="K98" s="139"/>
      <c r="L98" s="445"/>
      <c r="M98" s="139"/>
      <c r="N98" s="445"/>
      <c r="O98" s="140"/>
      <c r="P98" s="140"/>
      <c r="Q98" s="152"/>
      <c r="R98" s="133"/>
      <c r="S98" s="153"/>
      <c r="T98" s="133"/>
      <c r="U98" s="154"/>
      <c r="V98" s="154"/>
      <c r="W98" s="152"/>
      <c r="X98" s="133"/>
      <c r="Y98" s="154"/>
      <c r="Z98" s="152"/>
      <c r="AA98" s="388"/>
      <c r="AB98" s="388"/>
      <c r="AC98" s="388"/>
      <c r="AD98" s="388"/>
      <c r="AE98" s="388"/>
      <c r="AF98" s="388"/>
      <c r="AG98" s="388"/>
      <c r="AH98" s="388"/>
      <c r="AI98" s="388"/>
      <c r="AJ98" s="388"/>
      <c r="AK98" s="388"/>
      <c r="AL98" s="388"/>
      <c r="AM98" s="388"/>
      <c r="AN98" s="388"/>
      <c r="AO98" s="388"/>
    </row>
    <row r="99" spans="2:41">
      <c r="B99" s="384"/>
      <c r="C99" s="390"/>
      <c r="D99" s="384"/>
      <c r="E99" s="155"/>
      <c r="F99" s="445"/>
      <c r="G99" s="140"/>
      <c r="H99" s="140"/>
      <c r="I99" s="140"/>
      <c r="J99" s="139"/>
      <c r="K99" s="139"/>
      <c r="L99" s="445"/>
      <c r="M99" s="139"/>
      <c r="N99" s="445"/>
      <c r="O99" s="140"/>
      <c r="P99" s="140"/>
      <c r="Q99" s="152"/>
      <c r="R99" s="133"/>
      <c r="S99" s="153"/>
      <c r="T99" s="133"/>
      <c r="U99" s="154"/>
      <c r="V99" s="154"/>
      <c r="W99" s="152"/>
      <c r="X99" s="133"/>
      <c r="Y99" s="154"/>
      <c r="Z99" s="152"/>
      <c r="AA99" s="388"/>
      <c r="AB99" s="388"/>
      <c r="AC99" s="388"/>
      <c r="AD99" s="388"/>
      <c r="AE99" s="388"/>
      <c r="AF99" s="388"/>
      <c r="AG99" s="388"/>
      <c r="AH99" s="388"/>
      <c r="AI99" s="388"/>
      <c r="AJ99" s="388"/>
      <c r="AK99" s="388"/>
      <c r="AL99" s="388"/>
      <c r="AM99" s="388"/>
      <c r="AN99" s="388"/>
      <c r="AO99" s="388"/>
    </row>
    <row r="100" spans="2:41">
      <c r="B100" s="384"/>
      <c r="C100" s="390"/>
      <c r="D100" s="384"/>
      <c r="E100" s="155"/>
      <c r="F100" s="445"/>
      <c r="G100" s="140"/>
      <c r="H100" s="140"/>
      <c r="I100" s="140"/>
      <c r="J100" s="139"/>
      <c r="K100" s="139"/>
      <c r="L100" s="445"/>
      <c r="M100" s="139"/>
      <c r="N100" s="445"/>
      <c r="O100" s="140"/>
      <c r="P100" s="140"/>
      <c r="Q100" s="152"/>
      <c r="R100" s="133"/>
      <c r="S100" s="153"/>
      <c r="T100" s="133"/>
      <c r="U100" s="154"/>
      <c r="V100" s="154"/>
      <c r="W100" s="152"/>
      <c r="X100" s="133"/>
      <c r="Y100" s="154"/>
      <c r="Z100" s="152"/>
      <c r="AA100" s="388"/>
      <c r="AB100" s="388"/>
      <c r="AC100" s="388"/>
      <c r="AD100" s="388"/>
      <c r="AE100" s="388"/>
      <c r="AF100" s="388"/>
      <c r="AG100" s="388"/>
      <c r="AH100" s="388"/>
      <c r="AI100" s="388"/>
      <c r="AJ100" s="388"/>
      <c r="AK100" s="388"/>
      <c r="AL100" s="388"/>
      <c r="AM100" s="388"/>
      <c r="AN100" s="388"/>
      <c r="AO100" s="388"/>
    </row>
    <row r="101" spans="2:41">
      <c r="B101" s="384"/>
      <c r="C101" s="390"/>
      <c r="D101" s="384"/>
      <c r="E101" s="155"/>
      <c r="F101" s="445"/>
      <c r="G101" s="140"/>
      <c r="H101" s="140"/>
      <c r="I101" s="140"/>
      <c r="J101" s="139"/>
      <c r="K101" s="139"/>
      <c r="L101" s="445"/>
      <c r="M101" s="139"/>
      <c r="N101" s="445"/>
      <c r="O101" s="140"/>
      <c r="P101" s="140"/>
      <c r="Q101" s="152"/>
      <c r="R101" s="133"/>
      <c r="S101" s="153"/>
      <c r="T101" s="133"/>
      <c r="U101" s="154"/>
      <c r="V101" s="154"/>
      <c r="W101" s="152"/>
      <c r="X101" s="133"/>
      <c r="Y101" s="154"/>
      <c r="Z101" s="152"/>
      <c r="AA101" s="388"/>
      <c r="AB101" s="388"/>
      <c r="AC101" s="388"/>
      <c r="AD101" s="388"/>
      <c r="AE101" s="388"/>
      <c r="AF101" s="388"/>
      <c r="AG101" s="388"/>
      <c r="AH101" s="388"/>
      <c r="AI101" s="388"/>
      <c r="AJ101" s="388"/>
      <c r="AK101" s="388"/>
      <c r="AL101" s="388"/>
      <c r="AM101" s="388"/>
      <c r="AN101" s="388"/>
      <c r="AO101" s="388"/>
    </row>
    <row r="102" spans="2:41" s="148" customFormat="1">
      <c r="B102" s="384"/>
      <c r="C102" s="390"/>
      <c r="D102" s="384"/>
      <c r="E102" s="155"/>
      <c r="F102" s="445"/>
      <c r="G102" s="140"/>
      <c r="H102" s="140"/>
      <c r="I102" s="140"/>
      <c r="J102" s="139"/>
      <c r="K102" s="139"/>
      <c r="L102" s="445"/>
      <c r="M102" s="139"/>
      <c r="N102" s="445"/>
      <c r="O102" s="140"/>
      <c r="P102" s="140"/>
      <c r="Q102" s="152"/>
      <c r="R102" s="133"/>
      <c r="S102" s="153"/>
      <c r="T102" s="133"/>
      <c r="U102" s="154"/>
      <c r="V102" s="154"/>
      <c r="W102" s="152"/>
      <c r="X102" s="133"/>
      <c r="Y102" s="154"/>
      <c r="Z102" s="152"/>
      <c r="AA102" s="147"/>
      <c r="AB102" s="147"/>
      <c r="AC102" s="147"/>
      <c r="AD102" s="147"/>
      <c r="AE102" s="147"/>
      <c r="AF102" s="147"/>
      <c r="AG102" s="147"/>
      <c r="AH102" s="147"/>
      <c r="AI102" s="147"/>
      <c r="AJ102" s="147"/>
      <c r="AK102" s="147"/>
      <c r="AL102" s="147"/>
      <c r="AM102" s="147"/>
      <c r="AN102" s="147"/>
      <c r="AO102" s="147"/>
    </row>
    <row r="103" spans="2:41">
      <c r="B103" s="384"/>
      <c r="C103" s="390"/>
      <c r="D103" s="384"/>
      <c r="E103" s="155"/>
      <c r="F103" s="445"/>
      <c r="G103" s="140"/>
      <c r="H103" s="140"/>
      <c r="I103" s="140"/>
      <c r="J103" s="139"/>
      <c r="K103" s="139"/>
      <c r="L103" s="445"/>
      <c r="M103" s="139"/>
      <c r="N103" s="445"/>
      <c r="O103" s="140"/>
      <c r="P103" s="140"/>
      <c r="Q103" s="152"/>
      <c r="R103" s="133"/>
      <c r="S103" s="153"/>
      <c r="T103" s="133"/>
      <c r="U103" s="154"/>
      <c r="V103" s="154"/>
      <c r="W103" s="152"/>
      <c r="X103" s="133"/>
      <c r="Y103" s="154"/>
      <c r="Z103" s="152"/>
      <c r="AA103" s="388"/>
      <c r="AB103" s="388"/>
      <c r="AC103" s="388"/>
      <c r="AD103" s="388"/>
      <c r="AE103" s="388"/>
      <c r="AF103" s="388"/>
      <c r="AG103" s="388"/>
      <c r="AH103" s="388"/>
      <c r="AI103" s="388"/>
      <c r="AJ103" s="388"/>
      <c r="AK103" s="388"/>
      <c r="AL103" s="388"/>
      <c r="AM103" s="388"/>
      <c r="AN103" s="388"/>
      <c r="AO103" s="388"/>
    </row>
    <row r="104" spans="2:41">
      <c r="B104" s="384"/>
      <c r="C104" s="390"/>
      <c r="D104" s="384"/>
      <c r="E104" s="155"/>
      <c r="F104" s="445"/>
      <c r="G104" s="140"/>
      <c r="H104" s="140"/>
      <c r="I104" s="140"/>
      <c r="J104" s="139"/>
      <c r="K104" s="139"/>
      <c r="L104" s="445"/>
      <c r="M104" s="139"/>
      <c r="N104" s="445"/>
      <c r="O104" s="140"/>
      <c r="P104" s="140"/>
      <c r="Q104" s="152"/>
      <c r="R104" s="133"/>
      <c r="S104" s="153"/>
      <c r="T104" s="133"/>
      <c r="U104" s="154"/>
      <c r="V104" s="154"/>
      <c r="W104" s="152"/>
      <c r="X104" s="133"/>
      <c r="Y104" s="154"/>
      <c r="Z104" s="152"/>
      <c r="AA104" s="388"/>
      <c r="AB104" s="388"/>
      <c r="AC104" s="388"/>
      <c r="AD104" s="388"/>
      <c r="AE104" s="388"/>
      <c r="AF104" s="388"/>
      <c r="AG104" s="388"/>
      <c r="AH104" s="388"/>
      <c r="AI104" s="388"/>
      <c r="AJ104" s="388"/>
      <c r="AK104" s="388"/>
      <c r="AL104" s="388"/>
      <c r="AM104" s="388"/>
      <c r="AN104" s="388"/>
      <c r="AO104" s="388"/>
    </row>
    <row r="105" spans="2:41" s="148" customFormat="1">
      <c r="B105" s="384"/>
      <c r="C105" s="390"/>
      <c r="D105" s="384"/>
      <c r="E105" s="155"/>
      <c r="F105" s="445"/>
      <c r="G105" s="140"/>
      <c r="H105" s="140"/>
      <c r="I105" s="140"/>
      <c r="J105" s="139"/>
      <c r="K105" s="139"/>
      <c r="L105" s="445"/>
      <c r="M105" s="139"/>
      <c r="N105" s="445"/>
      <c r="O105" s="140"/>
      <c r="P105" s="140"/>
      <c r="Q105" s="152"/>
      <c r="R105" s="133"/>
      <c r="S105" s="153"/>
      <c r="T105" s="133"/>
      <c r="U105" s="154"/>
      <c r="V105" s="154"/>
      <c r="W105" s="152"/>
      <c r="X105" s="133"/>
      <c r="Y105" s="154"/>
      <c r="Z105" s="152"/>
      <c r="AA105" s="147"/>
      <c r="AB105" s="147"/>
      <c r="AC105" s="147"/>
      <c r="AD105" s="147"/>
      <c r="AE105" s="147"/>
      <c r="AF105" s="147"/>
      <c r="AG105" s="147"/>
      <c r="AH105" s="147"/>
      <c r="AI105" s="147"/>
      <c r="AJ105" s="147"/>
      <c r="AK105" s="147"/>
      <c r="AL105" s="147"/>
      <c r="AM105" s="147"/>
      <c r="AN105" s="147"/>
      <c r="AO105" s="147"/>
    </row>
    <row r="106" spans="2:41">
      <c r="B106" s="384"/>
      <c r="C106" s="390"/>
      <c r="D106" s="384"/>
      <c r="E106" s="157"/>
      <c r="F106" s="445"/>
      <c r="G106" s="140"/>
      <c r="H106" s="140"/>
      <c r="I106" s="140"/>
      <c r="J106" s="139"/>
      <c r="K106" s="139"/>
      <c r="L106" s="445"/>
      <c r="M106" s="139"/>
      <c r="N106" s="445"/>
      <c r="O106" s="140"/>
      <c r="P106" s="140"/>
      <c r="Q106" s="152"/>
      <c r="R106" s="133"/>
      <c r="S106" s="153"/>
      <c r="T106" s="133"/>
      <c r="U106" s="154"/>
      <c r="V106" s="154"/>
      <c r="W106" s="152"/>
      <c r="X106" s="133"/>
      <c r="Y106" s="154"/>
      <c r="Z106" s="152"/>
      <c r="AA106" s="388"/>
      <c r="AB106" s="388"/>
      <c r="AC106" s="388"/>
      <c r="AD106" s="388"/>
      <c r="AE106" s="388"/>
      <c r="AF106" s="388"/>
      <c r="AG106" s="388"/>
      <c r="AH106" s="388"/>
      <c r="AI106" s="388"/>
      <c r="AJ106" s="388"/>
      <c r="AK106" s="388"/>
      <c r="AL106" s="388"/>
      <c r="AM106" s="388"/>
      <c r="AN106" s="388"/>
      <c r="AO106" s="388"/>
    </row>
    <row r="107" spans="2:41">
      <c r="B107" s="384"/>
      <c r="C107" s="48"/>
      <c r="D107" s="384"/>
      <c r="E107" s="155"/>
      <c r="F107" s="445"/>
      <c r="G107" s="140"/>
      <c r="H107" s="140"/>
      <c r="I107" s="140"/>
      <c r="J107" s="139"/>
      <c r="K107" s="139"/>
      <c r="L107" s="445"/>
      <c r="M107" s="139"/>
      <c r="N107" s="445"/>
      <c r="O107" s="140"/>
      <c r="P107" s="140"/>
      <c r="Q107" s="152"/>
      <c r="R107" s="133"/>
      <c r="S107" s="153"/>
      <c r="T107" s="133"/>
      <c r="U107" s="154"/>
      <c r="V107" s="154"/>
      <c r="W107" s="152"/>
      <c r="X107" s="133"/>
      <c r="Y107" s="154"/>
      <c r="Z107" s="152"/>
      <c r="AA107" s="388"/>
      <c r="AB107" s="388"/>
      <c r="AC107" s="388"/>
      <c r="AD107" s="388"/>
      <c r="AE107" s="388"/>
      <c r="AF107" s="388"/>
      <c r="AG107" s="388"/>
      <c r="AH107" s="388"/>
      <c r="AI107" s="388"/>
      <c r="AJ107" s="388"/>
      <c r="AK107" s="388"/>
      <c r="AL107" s="388"/>
      <c r="AM107" s="388"/>
      <c r="AN107" s="388"/>
      <c r="AO107" s="388"/>
    </row>
    <row r="108" spans="2:41">
      <c r="B108" s="384"/>
      <c r="C108" s="48"/>
      <c r="D108" s="384"/>
      <c r="E108" s="155"/>
      <c r="F108" s="445"/>
      <c r="G108" s="140"/>
      <c r="H108" s="140"/>
      <c r="I108" s="140"/>
      <c r="J108" s="139"/>
      <c r="K108" s="139"/>
      <c r="L108" s="445"/>
      <c r="M108" s="139"/>
      <c r="N108" s="445"/>
      <c r="O108" s="140"/>
      <c r="P108" s="140"/>
      <c r="Q108" s="152"/>
      <c r="R108" s="133"/>
      <c r="S108" s="153"/>
      <c r="T108" s="133"/>
      <c r="U108" s="154"/>
      <c r="V108" s="154"/>
      <c r="W108" s="152"/>
      <c r="X108" s="133"/>
      <c r="Y108" s="154"/>
      <c r="Z108" s="152"/>
      <c r="AA108" s="388"/>
      <c r="AB108" s="388"/>
      <c r="AC108" s="388"/>
      <c r="AD108" s="388"/>
      <c r="AE108" s="388"/>
      <c r="AF108" s="388"/>
      <c r="AG108" s="388"/>
      <c r="AH108" s="388"/>
      <c r="AI108" s="388"/>
      <c r="AJ108" s="388"/>
      <c r="AK108" s="388"/>
      <c r="AL108" s="388"/>
      <c r="AM108" s="388"/>
      <c r="AN108" s="388"/>
      <c r="AO108" s="388"/>
    </row>
    <row r="109" spans="2:41">
      <c r="B109" s="384"/>
      <c r="C109" s="390"/>
      <c r="D109" s="384"/>
      <c r="E109" s="155"/>
      <c r="F109" s="445"/>
      <c r="G109" s="140"/>
      <c r="H109" s="140"/>
      <c r="I109" s="140"/>
      <c r="J109" s="139"/>
      <c r="K109" s="139"/>
      <c r="L109" s="445"/>
      <c r="M109" s="139"/>
      <c r="N109" s="445"/>
      <c r="O109" s="140"/>
      <c r="P109" s="140"/>
      <c r="Q109" s="152"/>
      <c r="R109" s="133"/>
      <c r="S109" s="153"/>
      <c r="T109" s="133"/>
      <c r="U109" s="154"/>
      <c r="V109" s="154"/>
      <c r="W109" s="152"/>
      <c r="X109" s="133"/>
      <c r="Y109" s="154"/>
      <c r="Z109" s="152"/>
      <c r="AA109" s="388"/>
      <c r="AB109" s="388"/>
      <c r="AC109" s="388"/>
      <c r="AD109" s="388"/>
      <c r="AE109" s="388"/>
      <c r="AF109" s="388"/>
      <c r="AG109" s="388"/>
      <c r="AH109" s="388"/>
      <c r="AI109" s="388"/>
      <c r="AJ109" s="388"/>
      <c r="AK109" s="388"/>
      <c r="AL109" s="388"/>
      <c r="AM109" s="388"/>
      <c r="AN109" s="388"/>
      <c r="AO109" s="388"/>
    </row>
    <row r="110" spans="2:41">
      <c r="B110" s="384"/>
      <c r="C110" s="390"/>
      <c r="D110" s="384"/>
      <c r="E110" s="155"/>
      <c r="F110" s="445"/>
      <c r="G110" s="140"/>
      <c r="H110" s="140"/>
      <c r="I110" s="140"/>
      <c r="J110" s="139"/>
      <c r="K110" s="139"/>
      <c r="L110" s="445"/>
      <c r="M110" s="139"/>
      <c r="N110" s="445"/>
      <c r="O110" s="140"/>
      <c r="P110" s="140"/>
      <c r="Q110" s="152"/>
      <c r="R110" s="133"/>
      <c r="S110" s="153"/>
      <c r="T110" s="133"/>
      <c r="U110" s="154"/>
      <c r="V110" s="154"/>
      <c r="W110" s="152"/>
      <c r="X110" s="133"/>
      <c r="Y110" s="154"/>
      <c r="Z110" s="152"/>
      <c r="AA110" s="388"/>
      <c r="AB110" s="388"/>
      <c r="AC110" s="388"/>
      <c r="AD110" s="388"/>
      <c r="AE110" s="388"/>
      <c r="AF110" s="388"/>
      <c r="AG110" s="388"/>
      <c r="AH110" s="388"/>
      <c r="AI110" s="388"/>
      <c r="AJ110" s="388"/>
      <c r="AK110" s="388"/>
      <c r="AL110" s="388"/>
      <c r="AM110" s="388"/>
      <c r="AN110" s="388"/>
      <c r="AO110" s="388"/>
    </row>
    <row r="111" spans="2:41">
      <c r="B111" s="384"/>
      <c r="C111" s="390"/>
      <c r="D111" s="384"/>
      <c r="E111" s="155"/>
      <c r="F111" s="445"/>
      <c r="G111" s="140"/>
      <c r="H111" s="140"/>
      <c r="I111" s="140"/>
      <c r="J111" s="140"/>
      <c r="K111" s="139"/>
      <c r="L111" s="445"/>
      <c r="M111" s="139"/>
      <c r="N111" s="445"/>
      <c r="O111" s="140"/>
      <c r="P111" s="140"/>
      <c r="Q111" s="152"/>
      <c r="R111" s="133"/>
      <c r="S111" s="153"/>
      <c r="T111" s="133"/>
      <c r="U111" s="154"/>
      <c r="V111" s="154"/>
      <c r="W111" s="152"/>
      <c r="X111" s="133"/>
      <c r="Y111" s="154"/>
      <c r="Z111" s="154"/>
      <c r="AA111" s="388"/>
      <c r="AB111" s="388"/>
      <c r="AC111" s="388"/>
      <c r="AD111" s="388"/>
      <c r="AE111" s="388"/>
      <c r="AF111" s="388"/>
      <c r="AG111" s="388"/>
      <c r="AH111" s="388"/>
      <c r="AI111" s="388"/>
      <c r="AJ111" s="388"/>
      <c r="AK111" s="388"/>
      <c r="AL111" s="388"/>
      <c r="AM111" s="388"/>
      <c r="AN111" s="388"/>
      <c r="AO111" s="388"/>
    </row>
    <row r="112" spans="2:41">
      <c r="B112" s="384"/>
      <c r="C112" s="390"/>
      <c r="D112" s="384"/>
      <c r="E112" s="155"/>
      <c r="F112" s="445"/>
      <c r="G112" s="140"/>
      <c r="H112" s="140"/>
      <c r="I112" s="140"/>
      <c r="J112" s="139"/>
      <c r="K112" s="139"/>
      <c r="L112" s="445"/>
      <c r="M112" s="139"/>
      <c r="N112" s="445"/>
      <c r="O112" s="140"/>
      <c r="P112" s="140"/>
      <c r="Q112" s="152"/>
      <c r="R112" s="133"/>
      <c r="S112" s="153"/>
      <c r="T112" s="133"/>
      <c r="U112" s="154"/>
      <c r="V112" s="154"/>
      <c r="W112" s="152"/>
      <c r="X112" s="133"/>
      <c r="Y112" s="154"/>
      <c r="Z112" s="152"/>
      <c r="AA112" s="388"/>
      <c r="AB112" s="388"/>
      <c r="AC112" s="388"/>
      <c r="AD112" s="388"/>
      <c r="AE112" s="388"/>
      <c r="AF112" s="388"/>
      <c r="AG112" s="388"/>
      <c r="AH112" s="388"/>
      <c r="AI112" s="388"/>
      <c r="AJ112" s="388"/>
      <c r="AK112" s="388"/>
      <c r="AL112" s="388"/>
      <c r="AM112" s="388"/>
      <c r="AN112" s="388"/>
      <c r="AO112" s="388"/>
    </row>
    <row r="113" spans="2:41" s="148" customFormat="1">
      <c r="B113" s="384"/>
      <c r="C113" s="390"/>
      <c r="D113" s="384"/>
      <c r="E113" s="157"/>
      <c r="F113" s="445"/>
      <c r="G113" s="140"/>
      <c r="H113" s="140"/>
      <c r="I113" s="140"/>
      <c r="J113" s="139"/>
      <c r="K113" s="139"/>
      <c r="L113" s="445"/>
      <c r="M113" s="139"/>
      <c r="N113" s="445"/>
      <c r="O113" s="140"/>
      <c r="P113" s="140"/>
      <c r="Q113" s="152"/>
      <c r="R113" s="133"/>
      <c r="S113" s="153"/>
      <c r="T113" s="133"/>
      <c r="U113" s="154"/>
      <c r="V113" s="154"/>
      <c r="W113" s="152"/>
      <c r="X113" s="133"/>
      <c r="Y113" s="154"/>
      <c r="Z113" s="152"/>
      <c r="AA113" s="147"/>
      <c r="AB113" s="147"/>
      <c r="AC113" s="147"/>
      <c r="AD113" s="147"/>
      <c r="AE113" s="147"/>
      <c r="AF113" s="147"/>
      <c r="AG113" s="147"/>
      <c r="AH113" s="147"/>
      <c r="AI113" s="147"/>
      <c r="AJ113" s="147"/>
      <c r="AK113" s="147"/>
      <c r="AL113" s="147"/>
      <c r="AM113" s="147"/>
      <c r="AN113" s="147"/>
      <c r="AO113" s="147"/>
    </row>
    <row r="114" spans="2:41" s="148" customFormat="1">
      <c r="B114" s="384"/>
      <c r="C114" s="390"/>
      <c r="D114" s="384"/>
      <c r="E114" s="157"/>
      <c r="F114" s="445"/>
      <c r="G114" s="140"/>
      <c r="H114" s="140"/>
      <c r="I114" s="140"/>
      <c r="J114" s="139"/>
      <c r="K114" s="139"/>
      <c r="L114" s="445"/>
      <c r="M114" s="139"/>
      <c r="N114" s="445"/>
      <c r="O114" s="140"/>
      <c r="P114" s="140"/>
      <c r="Q114" s="152"/>
      <c r="R114" s="133"/>
      <c r="S114" s="153"/>
      <c r="T114" s="133"/>
      <c r="U114" s="154"/>
      <c r="V114" s="154"/>
      <c r="W114" s="152"/>
      <c r="X114" s="133"/>
      <c r="Y114" s="154"/>
      <c r="Z114" s="152"/>
      <c r="AA114" s="147"/>
      <c r="AB114" s="147"/>
      <c r="AC114" s="147"/>
      <c r="AD114" s="147"/>
      <c r="AE114" s="147"/>
      <c r="AF114" s="147"/>
      <c r="AG114" s="147"/>
      <c r="AH114" s="147"/>
      <c r="AI114" s="147"/>
      <c r="AJ114" s="147"/>
      <c r="AK114" s="147"/>
      <c r="AL114" s="147"/>
      <c r="AM114" s="147"/>
      <c r="AN114" s="147"/>
      <c r="AO114" s="147"/>
    </row>
    <row r="115" spans="2:41">
      <c r="B115" s="384"/>
      <c r="C115" s="390"/>
      <c r="D115" s="384"/>
      <c r="E115" s="157"/>
      <c r="F115" s="445"/>
      <c r="G115" s="140"/>
      <c r="H115" s="140"/>
      <c r="I115" s="140"/>
      <c r="J115" s="139"/>
      <c r="K115" s="139"/>
      <c r="L115" s="445"/>
      <c r="M115" s="139"/>
      <c r="N115" s="445"/>
      <c r="O115" s="140"/>
      <c r="P115" s="140"/>
      <c r="Q115" s="152"/>
      <c r="R115" s="158"/>
      <c r="S115" s="153"/>
      <c r="T115" s="133"/>
      <c r="U115" s="154"/>
      <c r="V115" s="154"/>
      <c r="W115" s="152"/>
      <c r="X115" s="133"/>
      <c r="Y115" s="154"/>
      <c r="Z115" s="152"/>
      <c r="AA115" s="388"/>
      <c r="AB115" s="388"/>
      <c r="AC115" s="388"/>
      <c r="AD115" s="388"/>
      <c r="AE115" s="388"/>
      <c r="AF115" s="388"/>
      <c r="AG115" s="388"/>
      <c r="AH115" s="388"/>
      <c r="AI115" s="388"/>
      <c r="AJ115" s="388"/>
      <c r="AK115" s="388"/>
      <c r="AL115" s="388"/>
      <c r="AM115" s="388"/>
      <c r="AN115" s="388"/>
      <c r="AO115" s="388"/>
    </row>
    <row r="116" spans="2:41">
      <c r="B116" s="384"/>
      <c r="C116" s="390"/>
      <c r="D116" s="384"/>
      <c r="E116" s="157"/>
      <c r="F116" s="445"/>
      <c r="G116" s="140"/>
      <c r="H116" s="140"/>
      <c r="I116" s="140"/>
      <c r="J116" s="139"/>
      <c r="K116" s="139"/>
      <c r="L116" s="445"/>
      <c r="M116" s="139"/>
      <c r="N116" s="445"/>
      <c r="O116" s="140"/>
      <c r="P116" s="140"/>
      <c r="Q116" s="152"/>
      <c r="R116" s="158"/>
      <c r="S116" s="153"/>
      <c r="T116" s="133"/>
      <c r="U116" s="154"/>
      <c r="V116" s="154"/>
      <c r="W116" s="152"/>
      <c r="X116" s="133"/>
      <c r="Y116" s="154"/>
      <c r="Z116" s="152"/>
      <c r="AA116" s="388"/>
      <c r="AB116" s="388"/>
      <c r="AC116" s="388"/>
      <c r="AD116" s="388"/>
      <c r="AE116" s="388"/>
      <c r="AF116" s="388"/>
      <c r="AG116" s="388"/>
      <c r="AH116" s="388"/>
      <c r="AI116" s="388"/>
      <c r="AJ116" s="388"/>
      <c r="AK116" s="388"/>
      <c r="AL116" s="388"/>
      <c r="AM116" s="388"/>
      <c r="AN116" s="388"/>
      <c r="AO116" s="388"/>
    </row>
    <row r="117" spans="2:41">
      <c r="B117" s="384"/>
      <c r="C117" s="390"/>
      <c r="D117" s="384"/>
      <c r="E117" s="155"/>
      <c r="F117" s="445"/>
      <c r="G117" s="140"/>
      <c r="H117" s="140"/>
      <c r="I117" s="140"/>
      <c r="J117" s="139"/>
      <c r="K117" s="139"/>
      <c r="L117" s="445"/>
      <c r="M117" s="139"/>
      <c r="N117" s="445"/>
      <c r="O117" s="140"/>
      <c r="P117" s="140"/>
      <c r="Q117" s="152"/>
      <c r="R117" s="133"/>
      <c r="S117" s="153"/>
      <c r="T117" s="133"/>
      <c r="U117" s="154"/>
      <c r="V117" s="154"/>
      <c r="W117" s="152"/>
      <c r="X117" s="133"/>
      <c r="Y117" s="154"/>
      <c r="Z117" s="154"/>
      <c r="AA117" s="388"/>
      <c r="AB117" s="388"/>
      <c r="AC117" s="388"/>
      <c r="AD117" s="388"/>
      <c r="AE117" s="388"/>
      <c r="AF117" s="388"/>
      <c r="AG117" s="388"/>
      <c r="AH117" s="388"/>
      <c r="AI117" s="388"/>
      <c r="AJ117" s="388"/>
      <c r="AK117" s="388"/>
      <c r="AL117" s="388"/>
      <c r="AM117" s="388"/>
      <c r="AN117" s="388"/>
      <c r="AO117" s="388"/>
    </row>
    <row r="118" spans="2:41">
      <c r="B118" s="384"/>
      <c r="C118" s="390"/>
      <c r="D118" s="384"/>
      <c r="E118" s="157"/>
      <c r="F118" s="445"/>
      <c r="G118" s="140"/>
      <c r="H118" s="140"/>
      <c r="I118" s="140"/>
      <c r="J118" s="139"/>
      <c r="K118" s="139"/>
      <c r="L118" s="445"/>
      <c r="M118" s="139"/>
      <c r="N118" s="445"/>
      <c r="O118" s="140"/>
      <c r="P118" s="140"/>
      <c r="Q118" s="152"/>
      <c r="R118" s="158"/>
      <c r="S118" s="153"/>
      <c r="T118" s="133"/>
      <c r="U118" s="154"/>
      <c r="V118" s="154"/>
      <c r="W118" s="152"/>
      <c r="X118" s="133"/>
      <c r="Y118" s="154"/>
      <c r="Z118" s="152"/>
      <c r="AA118" s="388"/>
      <c r="AB118" s="388"/>
      <c r="AC118" s="388"/>
      <c r="AD118" s="388"/>
      <c r="AE118" s="388"/>
      <c r="AF118" s="388"/>
      <c r="AG118" s="388"/>
      <c r="AH118" s="388"/>
      <c r="AI118" s="388"/>
      <c r="AJ118" s="388"/>
      <c r="AK118" s="388"/>
      <c r="AL118" s="388"/>
      <c r="AM118" s="388"/>
      <c r="AN118" s="388"/>
      <c r="AO118" s="388"/>
    </row>
    <row r="119" spans="2:41">
      <c r="B119" s="384"/>
      <c r="C119" s="390"/>
      <c r="D119" s="384"/>
      <c r="E119" s="157"/>
      <c r="F119" s="445"/>
      <c r="G119" s="140"/>
      <c r="H119" s="140"/>
      <c r="I119" s="140"/>
      <c r="J119" s="139"/>
      <c r="K119" s="139"/>
      <c r="L119" s="445"/>
      <c r="M119" s="139"/>
      <c r="N119" s="445"/>
      <c r="O119" s="140"/>
      <c r="P119" s="140"/>
      <c r="Q119" s="152"/>
      <c r="R119" s="158"/>
      <c r="S119" s="153"/>
      <c r="T119" s="133"/>
      <c r="U119" s="154"/>
      <c r="V119" s="154"/>
      <c r="W119" s="152"/>
      <c r="X119" s="133"/>
      <c r="Y119" s="154"/>
      <c r="Z119" s="152"/>
      <c r="AA119" s="388"/>
      <c r="AB119" s="388"/>
      <c r="AC119" s="388"/>
      <c r="AD119" s="388"/>
      <c r="AE119" s="388"/>
      <c r="AF119" s="388"/>
      <c r="AG119" s="388"/>
      <c r="AH119" s="388"/>
      <c r="AI119" s="388"/>
      <c r="AJ119" s="388"/>
      <c r="AK119" s="388"/>
      <c r="AL119" s="388"/>
      <c r="AM119" s="388"/>
      <c r="AN119" s="388"/>
      <c r="AO119" s="388"/>
    </row>
    <row r="120" spans="2:41">
      <c r="B120" s="384"/>
      <c r="C120" s="390"/>
      <c r="D120" s="384"/>
      <c r="E120" s="157"/>
      <c r="F120" s="445"/>
      <c r="G120" s="140"/>
      <c r="H120" s="140"/>
      <c r="I120" s="140"/>
      <c r="J120" s="139"/>
      <c r="K120" s="139"/>
      <c r="L120" s="445"/>
      <c r="M120" s="139"/>
      <c r="N120" s="445"/>
      <c r="O120" s="140"/>
      <c r="P120" s="140"/>
      <c r="Q120" s="152"/>
      <c r="R120" s="133"/>
      <c r="S120" s="153"/>
      <c r="T120" s="133"/>
      <c r="U120" s="154"/>
      <c r="V120" s="154"/>
      <c r="W120" s="152"/>
      <c r="X120" s="133"/>
      <c r="Y120" s="154"/>
      <c r="Z120" s="152"/>
      <c r="AA120" s="388"/>
      <c r="AB120" s="388"/>
      <c r="AC120" s="388"/>
      <c r="AD120" s="388"/>
      <c r="AE120" s="388"/>
      <c r="AF120" s="388"/>
      <c r="AG120" s="388"/>
      <c r="AH120" s="388"/>
      <c r="AI120" s="388"/>
      <c r="AJ120" s="388"/>
      <c r="AK120" s="388"/>
      <c r="AL120" s="388"/>
      <c r="AM120" s="388"/>
      <c r="AN120" s="388"/>
      <c r="AO120" s="388"/>
    </row>
    <row r="121" spans="2:41">
      <c r="B121" s="384"/>
      <c r="C121" s="48"/>
      <c r="D121" s="384"/>
      <c r="E121" s="131"/>
      <c r="F121" s="445"/>
      <c r="G121" s="140"/>
      <c r="H121" s="140"/>
      <c r="I121" s="140"/>
      <c r="J121" s="445"/>
      <c r="K121" s="445"/>
      <c r="L121" s="445"/>
      <c r="M121" s="445"/>
      <c r="N121" s="445"/>
      <c r="O121" s="140"/>
      <c r="P121" s="140"/>
      <c r="Q121" s="152"/>
      <c r="R121" s="133"/>
      <c r="S121" s="153"/>
      <c r="T121" s="133"/>
      <c r="U121" s="152"/>
      <c r="V121" s="152"/>
      <c r="W121" s="152"/>
      <c r="X121" s="133"/>
      <c r="Y121" s="152"/>
      <c r="Z121" s="152"/>
      <c r="AA121" s="388"/>
      <c r="AB121" s="388"/>
      <c r="AC121" s="388"/>
      <c r="AD121" s="388"/>
      <c r="AE121" s="388"/>
      <c r="AF121" s="388"/>
      <c r="AG121" s="388"/>
      <c r="AH121" s="388"/>
      <c r="AI121" s="388"/>
      <c r="AJ121" s="388"/>
      <c r="AK121" s="388"/>
      <c r="AL121" s="388"/>
      <c r="AM121" s="388"/>
      <c r="AN121" s="388"/>
      <c r="AO121" s="388"/>
    </row>
    <row r="122" spans="2:41">
      <c r="B122" s="384"/>
      <c r="C122" s="390"/>
      <c r="D122" s="384"/>
      <c r="E122" s="131"/>
      <c r="F122" s="140"/>
      <c r="G122" s="443"/>
      <c r="H122" s="443"/>
      <c r="I122" s="443"/>
      <c r="J122" s="140"/>
      <c r="K122" s="140"/>
      <c r="L122" s="140"/>
      <c r="M122" s="140"/>
      <c r="N122" s="140"/>
      <c r="O122" s="140"/>
      <c r="P122" s="140"/>
      <c r="Q122" s="133"/>
      <c r="R122" s="133"/>
      <c r="S122" s="142"/>
      <c r="T122" s="133"/>
      <c r="U122" s="133"/>
      <c r="V122" s="133"/>
      <c r="W122" s="133"/>
      <c r="X122" s="133"/>
      <c r="Y122" s="133"/>
      <c r="Z122" s="133"/>
      <c r="AA122" s="388"/>
      <c r="AB122" s="388"/>
      <c r="AC122" s="388"/>
      <c r="AD122" s="388"/>
      <c r="AE122" s="388"/>
      <c r="AF122" s="388"/>
      <c r="AG122" s="388"/>
      <c r="AH122" s="388"/>
      <c r="AI122" s="388"/>
      <c r="AJ122" s="388"/>
      <c r="AK122" s="388"/>
      <c r="AL122" s="388"/>
      <c r="AM122" s="388"/>
      <c r="AN122" s="388"/>
      <c r="AO122" s="388"/>
    </row>
    <row r="123" spans="2:41">
      <c r="B123" s="384"/>
      <c r="C123" s="390"/>
      <c r="D123" s="384"/>
      <c r="E123" s="131"/>
      <c r="F123" s="445"/>
      <c r="G123" s="140"/>
      <c r="H123" s="140"/>
      <c r="I123" s="140"/>
      <c r="J123" s="139"/>
      <c r="K123" s="139"/>
      <c r="L123" s="445"/>
      <c r="M123" s="139"/>
      <c r="N123" s="445"/>
      <c r="O123" s="140"/>
      <c r="P123" s="140"/>
      <c r="Q123" s="152"/>
      <c r="R123" s="133"/>
      <c r="S123" s="153"/>
      <c r="T123" s="133"/>
      <c r="U123" s="154"/>
      <c r="V123" s="154"/>
      <c r="W123" s="152"/>
      <c r="X123" s="133"/>
      <c r="Y123" s="154"/>
      <c r="Z123" s="152"/>
      <c r="AA123" s="388"/>
      <c r="AB123" s="388"/>
      <c r="AC123" s="388"/>
      <c r="AD123" s="388"/>
      <c r="AE123" s="388"/>
      <c r="AF123" s="388"/>
      <c r="AG123" s="388"/>
      <c r="AH123" s="388"/>
      <c r="AI123" s="388"/>
      <c r="AJ123" s="388"/>
      <c r="AK123" s="388"/>
      <c r="AL123" s="388"/>
      <c r="AM123" s="388"/>
      <c r="AN123" s="388"/>
      <c r="AO123" s="388"/>
    </row>
    <row r="124" spans="2:41">
      <c r="B124" s="384"/>
      <c r="C124" s="390"/>
      <c r="D124" s="384"/>
      <c r="E124" s="131"/>
      <c r="F124" s="445"/>
      <c r="G124" s="140"/>
      <c r="H124" s="140"/>
      <c r="I124" s="140"/>
      <c r="J124" s="139"/>
      <c r="K124" s="139"/>
      <c r="L124" s="445"/>
      <c r="M124" s="139"/>
      <c r="N124" s="445"/>
      <c r="O124" s="140"/>
      <c r="P124" s="140"/>
      <c r="Q124" s="152"/>
      <c r="R124" s="133"/>
      <c r="S124" s="153"/>
      <c r="T124" s="133"/>
      <c r="U124" s="154"/>
      <c r="V124" s="154"/>
      <c r="W124" s="152"/>
      <c r="X124" s="133"/>
      <c r="Y124" s="154"/>
      <c r="Z124" s="152"/>
      <c r="AA124" s="388"/>
      <c r="AB124" s="388"/>
      <c r="AC124" s="388"/>
      <c r="AD124" s="388"/>
      <c r="AE124" s="388"/>
      <c r="AF124" s="388"/>
      <c r="AG124" s="388"/>
      <c r="AH124" s="388"/>
      <c r="AI124" s="388"/>
      <c r="AJ124" s="388"/>
      <c r="AK124" s="388"/>
      <c r="AL124" s="388"/>
      <c r="AM124" s="388"/>
      <c r="AN124" s="388"/>
      <c r="AO124" s="388"/>
    </row>
    <row r="125" spans="2:41">
      <c r="B125" s="384"/>
      <c r="C125" s="390"/>
      <c r="D125" s="384"/>
      <c r="E125" s="131"/>
      <c r="F125" s="445"/>
      <c r="G125" s="140"/>
      <c r="H125" s="140"/>
      <c r="I125" s="140"/>
      <c r="J125" s="139"/>
      <c r="K125" s="139"/>
      <c r="L125" s="445"/>
      <c r="M125" s="139"/>
      <c r="N125" s="445"/>
      <c r="O125" s="140"/>
      <c r="P125" s="140"/>
      <c r="Q125" s="152"/>
      <c r="R125" s="133"/>
      <c r="S125" s="153"/>
      <c r="T125" s="133"/>
      <c r="U125" s="154"/>
      <c r="V125" s="154"/>
      <c r="W125" s="152"/>
      <c r="X125" s="133"/>
      <c r="Y125" s="154"/>
      <c r="Z125" s="152"/>
      <c r="AA125" s="388"/>
      <c r="AB125" s="388"/>
      <c r="AC125" s="388"/>
      <c r="AD125" s="388"/>
      <c r="AE125" s="388"/>
      <c r="AF125" s="388"/>
      <c r="AG125" s="388"/>
      <c r="AH125" s="388"/>
      <c r="AI125" s="388"/>
      <c r="AJ125" s="388"/>
      <c r="AK125" s="388"/>
      <c r="AL125" s="388"/>
      <c r="AM125" s="388"/>
      <c r="AN125" s="388"/>
      <c r="AO125" s="388"/>
    </row>
    <row r="126" spans="2:41">
      <c r="B126" s="384"/>
      <c r="C126" s="390"/>
      <c r="D126" s="384"/>
      <c r="E126" s="131"/>
      <c r="F126" s="445"/>
      <c r="G126" s="140"/>
      <c r="H126" s="140"/>
      <c r="I126" s="140"/>
      <c r="J126" s="139"/>
      <c r="K126" s="139"/>
      <c r="L126" s="445"/>
      <c r="M126" s="139"/>
      <c r="N126" s="445"/>
      <c r="O126" s="140"/>
      <c r="P126" s="140"/>
      <c r="Q126" s="152"/>
      <c r="R126" s="133"/>
      <c r="S126" s="153"/>
      <c r="T126" s="133"/>
      <c r="U126" s="154"/>
      <c r="V126" s="154"/>
      <c r="W126" s="152"/>
      <c r="X126" s="133"/>
      <c r="Y126" s="154"/>
      <c r="Z126" s="152"/>
      <c r="AA126" s="388"/>
      <c r="AB126" s="388"/>
      <c r="AC126" s="388"/>
      <c r="AD126" s="388"/>
      <c r="AE126" s="388"/>
      <c r="AF126" s="388"/>
      <c r="AG126" s="388"/>
      <c r="AH126" s="388"/>
      <c r="AI126" s="388"/>
      <c r="AJ126" s="388"/>
      <c r="AK126" s="388"/>
      <c r="AL126" s="388"/>
      <c r="AM126" s="388"/>
      <c r="AN126" s="388"/>
      <c r="AO126" s="388"/>
    </row>
    <row r="127" spans="2:41">
      <c r="B127" s="384"/>
      <c r="C127" s="390"/>
      <c r="D127" s="384"/>
      <c r="E127" s="131"/>
      <c r="F127" s="445"/>
      <c r="G127" s="140"/>
      <c r="H127" s="140"/>
      <c r="I127" s="140"/>
      <c r="J127" s="139"/>
      <c r="K127" s="139"/>
      <c r="L127" s="445"/>
      <c r="M127" s="139"/>
      <c r="N127" s="445"/>
      <c r="O127" s="140"/>
      <c r="P127" s="140"/>
      <c r="Q127" s="152"/>
      <c r="R127" s="133"/>
      <c r="S127" s="153"/>
      <c r="T127" s="133"/>
      <c r="U127" s="154"/>
      <c r="V127" s="154"/>
      <c r="W127" s="152"/>
      <c r="X127" s="133"/>
      <c r="Y127" s="154"/>
      <c r="Z127" s="152"/>
      <c r="AA127" s="388"/>
      <c r="AB127" s="388"/>
      <c r="AC127" s="388"/>
      <c r="AD127" s="388"/>
      <c r="AE127" s="388"/>
      <c r="AF127" s="388"/>
      <c r="AG127" s="388"/>
      <c r="AH127" s="388"/>
      <c r="AI127" s="388"/>
      <c r="AJ127" s="388"/>
      <c r="AK127" s="388"/>
      <c r="AL127" s="388"/>
      <c r="AM127" s="388"/>
      <c r="AN127" s="388"/>
      <c r="AO127" s="388"/>
    </row>
    <row r="128" spans="2:41">
      <c r="B128" s="384"/>
      <c r="C128" s="390"/>
      <c r="D128" s="384"/>
      <c r="E128" s="385"/>
      <c r="F128" s="445"/>
      <c r="G128" s="140"/>
      <c r="H128" s="140"/>
      <c r="I128" s="140"/>
      <c r="J128" s="139"/>
      <c r="K128" s="139"/>
      <c r="L128" s="445"/>
      <c r="M128" s="139"/>
      <c r="N128" s="445"/>
      <c r="O128" s="140"/>
      <c r="P128" s="140"/>
      <c r="Q128" s="152"/>
      <c r="R128" s="133"/>
      <c r="S128" s="153"/>
      <c r="T128" s="133"/>
      <c r="U128" s="154"/>
      <c r="V128" s="154"/>
      <c r="W128" s="152"/>
      <c r="X128" s="133"/>
      <c r="Y128" s="154"/>
      <c r="Z128" s="152"/>
      <c r="AA128" s="388"/>
      <c r="AB128" s="388"/>
      <c r="AC128" s="388"/>
      <c r="AD128" s="388"/>
      <c r="AE128" s="388"/>
      <c r="AF128" s="388"/>
      <c r="AG128" s="388"/>
      <c r="AH128" s="388"/>
      <c r="AI128" s="388"/>
      <c r="AJ128" s="388"/>
      <c r="AK128" s="388"/>
      <c r="AL128" s="388"/>
      <c r="AM128" s="388"/>
      <c r="AN128" s="388"/>
      <c r="AO128" s="388"/>
    </row>
    <row r="129" spans="2:41" s="148" customFormat="1">
      <c r="B129" s="384"/>
      <c r="C129" s="390"/>
      <c r="D129" s="384"/>
      <c r="E129" s="131"/>
      <c r="F129" s="140"/>
      <c r="G129" s="448"/>
      <c r="H129" s="448"/>
      <c r="I129" s="448"/>
      <c r="J129" s="140"/>
      <c r="K129" s="140"/>
      <c r="L129" s="140"/>
      <c r="M129" s="140"/>
      <c r="N129" s="140"/>
      <c r="O129" s="140"/>
      <c r="P129" s="140"/>
      <c r="Q129" s="152"/>
      <c r="R129" s="133"/>
      <c r="S129" s="153"/>
      <c r="T129" s="160"/>
      <c r="U129" s="154"/>
      <c r="V129" s="154"/>
      <c r="W129" s="154"/>
      <c r="X129" s="133"/>
      <c r="Y129" s="154"/>
      <c r="Z129" s="154"/>
      <c r="AA129" s="147"/>
      <c r="AB129" s="147"/>
      <c r="AC129" s="147"/>
      <c r="AD129" s="147"/>
      <c r="AE129" s="147"/>
      <c r="AF129" s="147"/>
      <c r="AG129" s="147"/>
      <c r="AH129" s="147"/>
      <c r="AI129" s="147"/>
      <c r="AJ129" s="147"/>
      <c r="AK129" s="147"/>
      <c r="AL129" s="147"/>
      <c r="AM129" s="147"/>
      <c r="AN129" s="147"/>
      <c r="AO129" s="147"/>
    </row>
    <row r="130" spans="2:41">
      <c r="B130" s="384"/>
      <c r="C130" s="390"/>
      <c r="D130" s="384"/>
      <c r="E130" s="131"/>
      <c r="F130" s="140"/>
      <c r="G130" s="448"/>
      <c r="H130" s="448"/>
      <c r="I130" s="448"/>
      <c r="J130" s="140"/>
      <c r="K130" s="140"/>
      <c r="L130" s="140"/>
      <c r="M130" s="140"/>
      <c r="N130" s="140"/>
      <c r="O130" s="140"/>
      <c r="P130" s="140"/>
      <c r="Q130" s="152"/>
      <c r="R130" s="133"/>
      <c r="S130" s="153"/>
      <c r="T130" s="160"/>
      <c r="U130" s="154"/>
      <c r="V130" s="154"/>
      <c r="W130" s="154"/>
      <c r="X130" s="133"/>
      <c r="Y130" s="154"/>
      <c r="Z130" s="154"/>
      <c r="AA130" s="388"/>
      <c r="AB130" s="388"/>
      <c r="AC130" s="388"/>
      <c r="AD130" s="388"/>
      <c r="AE130" s="388"/>
      <c r="AF130" s="388"/>
      <c r="AG130" s="388"/>
      <c r="AH130" s="388"/>
      <c r="AI130" s="388"/>
      <c r="AJ130" s="388"/>
      <c r="AK130" s="388"/>
      <c r="AL130" s="388"/>
      <c r="AM130" s="388"/>
      <c r="AN130" s="388"/>
      <c r="AO130" s="388"/>
    </row>
    <row r="131" spans="2:41">
      <c r="B131" s="384"/>
      <c r="C131" s="390"/>
      <c r="D131" s="384"/>
      <c r="E131" s="131"/>
      <c r="F131" s="446"/>
      <c r="G131" s="448"/>
      <c r="H131" s="448"/>
      <c r="I131" s="448"/>
      <c r="J131" s="443"/>
      <c r="K131" s="446"/>
      <c r="L131" s="446"/>
      <c r="M131" s="446"/>
      <c r="N131" s="446"/>
      <c r="O131" s="140"/>
      <c r="P131" s="140"/>
      <c r="Q131" s="133"/>
      <c r="R131" s="161"/>
      <c r="S131" s="153"/>
      <c r="T131" s="160"/>
      <c r="U131" s="146"/>
      <c r="V131" s="133"/>
      <c r="W131" s="154"/>
      <c r="X131" s="146"/>
      <c r="Y131" s="146"/>
      <c r="Z131" s="146"/>
      <c r="AA131" s="388"/>
      <c r="AB131" s="388"/>
      <c r="AC131" s="388"/>
      <c r="AD131" s="388"/>
      <c r="AE131" s="388"/>
      <c r="AF131" s="388"/>
      <c r="AG131" s="388"/>
      <c r="AH131" s="388"/>
      <c r="AI131" s="388"/>
      <c r="AJ131" s="388"/>
      <c r="AK131" s="388"/>
      <c r="AL131" s="388"/>
      <c r="AM131" s="388"/>
      <c r="AN131" s="388"/>
      <c r="AO131" s="388"/>
    </row>
    <row r="132" spans="2:41">
      <c r="B132" s="384"/>
      <c r="C132" s="390"/>
      <c r="D132" s="384"/>
      <c r="E132" s="131"/>
      <c r="F132" s="140"/>
      <c r="G132" s="140"/>
      <c r="H132" s="448"/>
      <c r="I132" s="446"/>
      <c r="J132" s="446"/>
      <c r="K132" s="140"/>
      <c r="L132" s="140"/>
      <c r="M132" s="446"/>
      <c r="N132" s="446"/>
      <c r="O132" s="140"/>
      <c r="P132" s="140"/>
      <c r="Q132" s="152"/>
      <c r="R132" s="133"/>
      <c r="S132" s="153"/>
      <c r="T132" s="160"/>
      <c r="U132" s="146"/>
      <c r="V132" s="133"/>
      <c r="W132" s="154"/>
      <c r="X132" s="133"/>
      <c r="Y132" s="154"/>
      <c r="Z132" s="133"/>
      <c r="AA132" s="388"/>
      <c r="AB132" s="388"/>
      <c r="AC132" s="388"/>
      <c r="AD132" s="388"/>
      <c r="AE132" s="388"/>
      <c r="AF132" s="388"/>
      <c r="AG132" s="388"/>
      <c r="AH132" s="388"/>
      <c r="AI132" s="388"/>
      <c r="AJ132" s="388"/>
      <c r="AK132" s="388"/>
      <c r="AL132" s="388"/>
      <c r="AM132" s="388"/>
      <c r="AN132" s="388"/>
      <c r="AO132" s="388"/>
    </row>
    <row r="133" spans="2:41">
      <c r="B133" s="384"/>
      <c r="C133" s="390"/>
      <c r="D133" s="384"/>
      <c r="E133" s="131"/>
      <c r="F133" s="446"/>
      <c r="G133" s="448"/>
      <c r="H133" s="448"/>
      <c r="I133" s="448"/>
      <c r="J133" s="443"/>
      <c r="K133" s="446"/>
      <c r="L133" s="446"/>
      <c r="M133" s="446"/>
      <c r="N133" s="446"/>
      <c r="O133" s="140"/>
      <c r="P133" s="140"/>
      <c r="Q133" s="152"/>
      <c r="R133" s="133"/>
      <c r="S133" s="153"/>
      <c r="T133" s="160"/>
      <c r="U133" s="146"/>
      <c r="V133" s="133"/>
      <c r="W133" s="154"/>
      <c r="X133" s="133"/>
      <c r="Y133" s="154"/>
      <c r="Z133" s="133"/>
      <c r="AA133" s="388"/>
      <c r="AB133" s="388"/>
      <c r="AC133" s="388"/>
      <c r="AD133" s="388"/>
      <c r="AE133" s="388"/>
      <c r="AF133" s="388"/>
      <c r="AG133" s="388"/>
      <c r="AH133" s="388"/>
      <c r="AI133" s="388"/>
      <c r="AJ133" s="388"/>
      <c r="AK133" s="388"/>
      <c r="AL133" s="388"/>
      <c r="AM133" s="388"/>
      <c r="AN133" s="388"/>
      <c r="AO133" s="388"/>
    </row>
    <row r="134" spans="2:41">
      <c r="B134" s="384"/>
      <c r="C134" s="390"/>
      <c r="D134" s="384"/>
      <c r="E134" s="131"/>
      <c r="F134" s="139"/>
      <c r="G134" s="446"/>
      <c r="H134" s="446"/>
      <c r="I134" s="446"/>
      <c r="J134" s="140"/>
      <c r="K134" s="139"/>
      <c r="L134" s="139"/>
      <c r="M134" s="139"/>
      <c r="N134" s="139"/>
      <c r="O134" s="140"/>
      <c r="P134" s="140"/>
      <c r="Q134" s="152"/>
      <c r="R134" s="133"/>
      <c r="S134" s="153"/>
      <c r="T134" s="160"/>
      <c r="U134" s="146"/>
      <c r="V134" s="133"/>
      <c r="W134" s="154"/>
      <c r="X134" s="133"/>
      <c r="Y134" s="154"/>
      <c r="Z134" s="133"/>
      <c r="AA134" s="388"/>
      <c r="AB134" s="388"/>
      <c r="AC134" s="388"/>
      <c r="AD134" s="388"/>
      <c r="AE134" s="388"/>
      <c r="AF134" s="388"/>
      <c r="AG134" s="388"/>
      <c r="AH134" s="388"/>
      <c r="AI134" s="388"/>
      <c r="AJ134" s="388"/>
      <c r="AK134" s="388"/>
      <c r="AL134" s="388"/>
      <c r="AM134" s="388"/>
      <c r="AN134" s="388"/>
      <c r="AO134" s="388"/>
    </row>
    <row r="135" spans="2:41">
      <c r="B135" s="384"/>
      <c r="C135" s="390"/>
      <c r="D135" s="384"/>
      <c r="E135" s="131"/>
      <c r="F135" s="139"/>
      <c r="G135" s="140"/>
      <c r="H135" s="140"/>
      <c r="I135" s="140"/>
      <c r="J135" s="140"/>
      <c r="K135" s="139"/>
      <c r="L135" s="139"/>
      <c r="M135" s="139"/>
      <c r="N135" s="139"/>
      <c r="O135" s="140"/>
      <c r="P135" s="140"/>
      <c r="Q135" s="152"/>
      <c r="R135" s="133"/>
      <c r="S135" s="153"/>
      <c r="T135" s="160"/>
      <c r="U135" s="146"/>
      <c r="V135" s="133"/>
      <c r="W135" s="154"/>
      <c r="X135" s="133"/>
      <c r="Y135" s="154"/>
      <c r="Z135" s="133"/>
      <c r="AA135" s="388"/>
      <c r="AB135" s="388"/>
      <c r="AC135" s="388"/>
      <c r="AD135" s="388"/>
      <c r="AE135" s="388"/>
      <c r="AF135" s="388"/>
      <c r="AG135" s="388"/>
      <c r="AH135" s="388"/>
      <c r="AI135" s="388"/>
      <c r="AJ135" s="388"/>
      <c r="AK135" s="388"/>
      <c r="AL135" s="388"/>
      <c r="AM135" s="388"/>
      <c r="AN135" s="388"/>
      <c r="AO135" s="388"/>
    </row>
    <row r="136" spans="2:41">
      <c r="B136" s="384"/>
      <c r="C136" s="390"/>
      <c r="D136" s="384"/>
      <c r="E136" s="131"/>
      <c r="F136" s="445"/>
      <c r="G136" s="140"/>
      <c r="H136" s="140"/>
      <c r="I136" s="140"/>
      <c r="J136" s="139"/>
      <c r="K136" s="139"/>
      <c r="L136" s="445"/>
      <c r="M136" s="139"/>
      <c r="N136" s="445"/>
      <c r="O136" s="140"/>
      <c r="P136" s="140"/>
      <c r="Q136" s="152"/>
      <c r="R136" s="133"/>
      <c r="S136" s="153"/>
      <c r="T136" s="133"/>
      <c r="U136" s="154"/>
      <c r="V136" s="154"/>
      <c r="W136" s="152"/>
      <c r="X136" s="133"/>
      <c r="Y136" s="154"/>
      <c r="Z136" s="152"/>
      <c r="AA136" s="388"/>
      <c r="AB136" s="388"/>
      <c r="AC136" s="388"/>
      <c r="AD136" s="388"/>
      <c r="AE136" s="388"/>
      <c r="AF136" s="388"/>
      <c r="AG136" s="388"/>
      <c r="AH136" s="388"/>
      <c r="AI136" s="388"/>
      <c r="AJ136" s="388"/>
      <c r="AK136" s="388"/>
      <c r="AL136" s="388"/>
      <c r="AM136" s="388"/>
      <c r="AN136" s="388"/>
      <c r="AO136" s="388"/>
    </row>
    <row r="137" spans="2:41">
      <c r="B137" s="384"/>
      <c r="C137" s="390"/>
      <c r="D137" s="384"/>
      <c r="E137" s="131"/>
      <c r="F137" s="445"/>
      <c r="G137" s="140"/>
      <c r="H137" s="140"/>
      <c r="I137" s="140"/>
      <c r="J137" s="139"/>
      <c r="K137" s="139"/>
      <c r="L137" s="445"/>
      <c r="M137" s="139"/>
      <c r="N137" s="445"/>
      <c r="O137" s="140"/>
      <c r="P137" s="140"/>
      <c r="Q137" s="152"/>
      <c r="R137" s="133"/>
      <c r="S137" s="153"/>
      <c r="T137" s="133"/>
      <c r="U137" s="154"/>
      <c r="V137" s="154"/>
      <c r="W137" s="152"/>
      <c r="X137" s="133"/>
      <c r="Y137" s="154"/>
      <c r="Z137" s="152"/>
      <c r="AA137" s="388"/>
      <c r="AB137" s="388"/>
      <c r="AC137" s="388"/>
      <c r="AD137" s="388"/>
      <c r="AE137" s="388"/>
      <c r="AF137" s="388"/>
      <c r="AG137" s="388"/>
      <c r="AH137" s="388"/>
      <c r="AI137" s="388"/>
      <c r="AJ137" s="388"/>
      <c r="AK137" s="388"/>
      <c r="AL137" s="388"/>
      <c r="AM137" s="388"/>
      <c r="AN137" s="388"/>
      <c r="AO137" s="388"/>
    </row>
    <row r="138" spans="2:41">
      <c r="B138" s="384"/>
      <c r="C138" s="390"/>
      <c r="D138" s="384"/>
      <c r="E138" s="131"/>
      <c r="F138" s="445"/>
      <c r="G138" s="140"/>
      <c r="H138" s="140"/>
      <c r="I138" s="140"/>
      <c r="J138" s="139"/>
      <c r="K138" s="139"/>
      <c r="L138" s="445"/>
      <c r="M138" s="139"/>
      <c r="N138" s="445"/>
      <c r="O138" s="140"/>
      <c r="P138" s="140"/>
      <c r="Q138" s="152"/>
      <c r="R138" s="133"/>
      <c r="S138" s="153"/>
      <c r="T138" s="133"/>
      <c r="U138" s="154"/>
      <c r="V138" s="154"/>
      <c r="W138" s="152"/>
      <c r="X138" s="133"/>
      <c r="Y138" s="154"/>
      <c r="Z138" s="152"/>
      <c r="AA138" s="388"/>
      <c r="AB138" s="388"/>
      <c r="AC138" s="388"/>
      <c r="AD138" s="388"/>
      <c r="AE138" s="388"/>
      <c r="AF138" s="388"/>
      <c r="AG138" s="388"/>
      <c r="AH138" s="388"/>
      <c r="AI138" s="388"/>
      <c r="AJ138" s="388"/>
      <c r="AK138" s="388"/>
      <c r="AL138" s="388"/>
      <c r="AM138" s="388"/>
      <c r="AN138" s="388"/>
      <c r="AO138" s="388"/>
    </row>
    <row r="139" spans="2:41">
      <c r="B139" s="384"/>
      <c r="C139" s="390"/>
      <c r="D139" s="384"/>
      <c r="E139" s="131"/>
      <c r="F139" s="445"/>
      <c r="G139" s="140"/>
      <c r="H139" s="140"/>
      <c r="I139" s="140"/>
      <c r="J139" s="139"/>
      <c r="K139" s="139"/>
      <c r="L139" s="445"/>
      <c r="M139" s="139"/>
      <c r="N139" s="445"/>
      <c r="O139" s="140"/>
      <c r="P139" s="140"/>
      <c r="Q139" s="152"/>
      <c r="R139" s="133"/>
      <c r="S139" s="153"/>
      <c r="T139" s="133"/>
      <c r="U139" s="154"/>
      <c r="V139" s="154"/>
      <c r="W139" s="152"/>
      <c r="X139" s="133"/>
      <c r="Y139" s="154"/>
      <c r="Z139" s="152"/>
      <c r="AA139" s="388"/>
      <c r="AB139" s="388"/>
      <c r="AC139" s="388"/>
      <c r="AD139" s="388"/>
      <c r="AE139" s="388"/>
      <c r="AF139" s="388"/>
      <c r="AG139" s="388"/>
      <c r="AH139" s="388"/>
      <c r="AI139" s="388"/>
      <c r="AJ139" s="388"/>
      <c r="AK139" s="388"/>
      <c r="AL139" s="388"/>
      <c r="AM139" s="388"/>
      <c r="AN139" s="388"/>
      <c r="AO139" s="388"/>
    </row>
    <row r="140" spans="2:41">
      <c r="B140" s="384"/>
      <c r="C140" s="390"/>
      <c r="D140" s="384"/>
      <c r="E140" s="131"/>
      <c r="F140" s="445"/>
      <c r="G140" s="140"/>
      <c r="H140" s="140"/>
      <c r="I140" s="140"/>
      <c r="J140" s="139"/>
      <c r="K140" s="139"/>
      <c r="L140" s="445"/>
      <c r="M140" s="139"/>
      <c r="N140" s="445"/>
      <c r="O140" s="140"/>
      <c r="P140" s="140"/>
      <c r="Q140" s="152"/>
      <c r="R140" s="133"/>
      <c r="S140" s="153"/>
      <c r="T140" s="133"/>
      <c r="U140" s="154"/>
      <c r="V140" s="154"/>
      <c r="W140" s="152"/>
      <c r="X140" s="133"/>
      <c r="Y140" s="154"/>
      <c r="Z140" s="152"/>
      <c r="AA140" s="388"/>
      <c r="AB140" s="388"/>
      <c r="AC140" s="388"/>
      <c r="AD140" s="388"/>
      <c r="AE140" s="388"/>
      <c r="AF140" s="388"/>
      <c r="AG140" s="388"/>
      <c r="AH140" s="388"/>
      <c r="AI140" s="388"/>
      <c r="AJ140" s="388"/>
      <c r="AK140" s="388"/>
      <c r="AL140" s="388"/>
      <c r="AM140" s="388"/>
      <c r="AN140" s="388"/>
      <c r="AO140" s="388"/>
    </row>
    <row r="141" spans="2:41">
      <c r="B141" s="384"/>
      <c r="C141" s="390"/>
      <c r="D141" s="384"/>
      <c r="E141" s="131"/>
      <c r="F141" s="445"/>
      <c r="G141" s="140"/>
      <c r="H141" s="140"/>
      <c r="I141" s="140"/>
      <c r="J141" s="139"/>
      <c r="K141" s="139"/>
      <c r="L141" s="445"/>
      <c r="M141" s="139"/>
      <c r="N141" s="445"/>
      <c r="O141" s="140"/>
      <c r="P141" s="140"/>
      <c r="Q141" s="152"/>
      <c r="R141" s="133"/>
      <c r="S141" s="153"/>
      <c r="T141" s="133"/>
      <c r="U141" s="154"/>
      <c r="V141" s="154"/>
      <c r="W141" s="152"/>
      <c r="X141" s="133"/>
      <c r="Y141" s="154"/>
      <c r="Z141" s="152"/>
      <c r="AA141" s="388"/>
      <c r="AB141" s="388"/>
      <c r="AC141" s="388"/>
      <c r="AD141" s="388"/>
      <c r="AE141" s="388"/>
      <c r="AF141" s="388"/>
      <c r="AG141" s="388"/>
      <c r="AH141" s="388"/>
      <c r="AI141" s="388"/>
      <c r="AJ141" s="388"/>
      <c r="AK141" s="388"/>
      <c r="AL141" s="388"/>
      <c r="AM141" s="388"/>
      <c r="AN141" s="388"/>
      <c r="AO141" s="388"/>
    </row>
    <row r="142" spans="2:41">
      <c r="B142" s="384"/>
      <c r="C142" s="390"/>
      <c r="D142" s="384"/>
      <c r="E142" s="131"/>
      <c r="F142" s="445"/>
      <c r="G142" s="140"/>
      <c r="H142" s="140"/>
      <c r="I142" s="140"/>
      <c r="J142" s="139"/>
      <c r="K142" s="139"/>
      <c r="L142" s="445"/>
      <c r="M142" s="139"/>
      <c r="N142" s="445"/>
      <c r="O142" s="140"/>
      <c r="P142" s="140"/>
      <c r="Q142" s="152"/>
      <c r="R142" s="133"/>
      <c r="S142" s="153"/>
      <c r="T142" s="133"/>
      <c r="U142" s="154"/>
      <c r="V142" s="154"/>
      <c r="W142" s="152"/>
      <c r="X142" s="133"/>
      <c r="Y142" s="154"/>
      <c r="Z142" s="152"/>
      <c r="AA142" s="388"/>
      <c r="AB142" s="388"/>
      <c r="AC142" s="388"/>
      <c r="AD142" s="388"/>
      <c r="AE142" s="388"/>
      <c r="AF142" s="388"/>
      <c r="AG142" s="388"/>
      <c r="AH142" s="388"/>
      <c r="AI142" s="388"/>
      <c r="AJ142" s="388"/>
      <c r="AK142" s="388"/>
      <c r="AL142" s="388"/>
      <c r="AM142" s="388"/>
      <c r="AN142" s="388"/>
      <c r="AO142" s="388"/>
    </row>
    <row r="143" spans="2:41">
      <c r="B143" s="384"/>
      <c r="C143" s="390"/>
      <c r="D143" s="384"/>
      <c r="E143" s="162"/>
      <c r="F143" s="449"/>
      <c r="G143" s="449"/>
      <c r="H143" s="449"/>
      <c r="I143" s="449"/>
      <c r="J143" s="449"/>
      <c r="K143" s="449"/>
      <c r="L143" s="449"/>
      <c r="M143" s="449"/>
      <c r="N143" s="449"/>
      <c r="O143" s="94"/>
      <c r="P143" s="94"/>
      <c r="Q143" s="128"/>
      <c r="R143" s="128"/>
      <c r="S143" s="128"/>
      <c r="T143" s="128"/>
      <c r="U143" s="128"/>
      <c r="V143" s="128"/>
      <c r="W143" s="128"/>
      <c r="X143" s="129"/>
      <c r="Y143" s="128"/>
      <c r="Z143" s="128"/>
      <c r="AA143" s="388"/>
      <c r="AB143" s="388"/>
      <c r="AC143" s="388"/>
      <c r="AD143" s="388"/>
      <c r="AE143" s="388"/>
      <c r="AF143" s="388"/>
      <c r="AG143" s="388"/>
      <c r="AH143" s="388"/>
      <c r="AI143" s="388"/>
      <c r="AJ143" s="388"/>
      <c r="AK143" s="388"/>
      <c r="AL143" s="388"/>
      <c r="AM143" s="388"/>
      <c r="AN143" s="388"/>
      <c r="AO143" s="388"/>
    </row>
    <row r="144" spans="2:41">
      <c r="B144" s="384"/>
      <c r="C144" s="390"/>
      <c r="D144" s="384"/>
      <c r="E144" s="162"/>
      <c r="F144" s="450"/>
      <c r="G144" s="450"/>
      <c r="H144" s="450"/>
      <c r="I144" s="450"/>
      <c r="J144" s="450"/>
      <c r="K144" s="450"/>
      <c r="L144" s="450"/>
      <c r="M144" s="450"/>
      <c r="N144" s="450"/>
      <c r="O144" s="140"/>
      <c r="P144" s="140"/>
      <c r="Q144" s="128"/>
      <c r="R144" s="128"/>
      <c r="S144" s="128"/>
      <c r="T144" s="128"/>
      <c r="U144" s="128"/>
      <c r="V144" s="128"/>
      <c r="W144" s="128"/>
      <c r="X144" s="129"/>
      <c r="Y144" s="128"/>
      <c r="Z144" s="128"/>
      <c r="AA144" s="388"/>
      <c r="AB144" s="388"/>
      <c r="AC144" s="388"/>
      <c r="AD144" s="388"/>
      <c r="AE144" s="388"/>
      <c r="AF144" s="388"/>
      <c r="AG144" s="388"/>
      <c r="AH144" s="388"/>
      <c r="AI144" s="388"/>
      <c r="AJ144" s="388"/>
      <c r="AK144" s="388"/>
      <c r="AL144" s="388"/>
      <c r="AM144" s="388"/>
      <c r="AN144" s="388"/>
      <c r="AO144" s="388"/>
    </row>
    <row r="145" spans="2:41">
      <c r="B145" s="384"/>
      <c r="C145" s="390"/>
      <c r="D145" s="384"/>
      <c r="E145" s="162"/>
      <c r="F145" s="450"/>
      <c r="G145" s="450"/>
      <c r="H145" s="450"/>
      <c r="I145" s="450"/>
      <c r="J145" s="450"/>
      <c r="K145" s="450"/>
      <c r="L145" s="450"/>
      <c r="M145" s="450"/>
      <c r="N145" s="450"/>
      <c r="O145" s="140"/>
      <c r="P145" s="140"/>
      <c r="Q145" s="128"/>
      <c r="R145" s="128"/>
      <c r="S145" s="128"/>
      <c r="T145" s="128"/>
      <c r="U145" s="128"/>
      <c r="V145" s="128"/>
      <c r="W145" s="128"/>
      <c r="X145" s="129"/>
      <c r="Y145" s="128"/>
      <c r="Z145" s="128"/>
      <c r="AA145" s="388"/>
      <c r="AB145" s="388"/>
      <c r="AC145" s="388"/>
      <c r="AD145" s="388"/>
      <c r="AE145" s="388"/>
      <c r="AF145" s="388"/>
      <c r="AG145" s="388"/>
      <c r="AH145" s="388"/>
      <c r="AI145" s="388"/>
      <c r="AJ145" s="388"/>
      <c r="AK145" s="388"/>
      <c r="AL145" s="388"/>
      <c r="AM145" s="388"/>
      <c r="AN145" s="388"/>
      <c r="AO145" s="388"/>
    </row>
    <row r="146" spans="2:41">
      <c r="B146" s="384"/>
      <c r="C146" s="48"/>
      <c r="D146" s="384"/>
      <c r="E146" s="131"/>
      <c r="F146" s="445"/>
      <c r="G146" s="140"/>
      <c r="H146" s="140"/>
      <c r="I146" s="140"/>
      <c r="J146" s="445"/>
      <c r="K146" s="445"/>
      <c r="L146" s="445"/>
      <c r="M146" s="445"/>
      <c r="N146" s="445"/>
      <c r="O146" s="140"/>
      <c r="P146" s="140"/>
      <c r="Q146" s="152"/>
      <c r="R146" s="133"/>
      <c r="S146" s="153"/>
      <c r="T146" s="133"/>
      <c r="U146" s="152"/>
      <c r="V146" s="152"/>
      <c r="W146" s="152"/>
      <c r="X146" s="133"/>
      <c r="Y146" s="152"/>
      <c r="Z146" s="152"/>
      <c r="AA146" s="388"/>
      <c r="AB146" s="388"/>
      <c r="AC146" s="388"/>
      <c r="AD146" s="388"/>
      <c r="AE146" s="388"/>
      <c r="AF146" s="388"/>
      <c r="AG146" s="388"/>
      <c r="AH146" s="388"/>
      <c r="AI146" s="388"/>
      <c r="AJ146" s="388"/>
      <c r="AK146" s="388"/>
      <c r="AL146" s="388"/>
      <c r="AM146" s="388"/>
      <c r="AN146" s="388"/>
      <c r="AO146" s="388"/>
    </row>
    <row r="147" spans="2:41">
      <c r="B147" s="384"/>
      <c r="C147" s="48"/>
      <c r="D147" s="384"/>
      <c r="E147" s="131"/>
      <c r="F147" s="445"/>
      <c r="G147" s="140"/>
      <c r="H147" s="140"/>
      <c r="I147" s="140"/>
      <c r="J147" s="445"/>
      <c r="K147" s="445"/>
      <c r="L147" s="445"/>
      <c r="M147" s="445"/>
      <c r="N147" s="445"/>
      <c r="O147" s="140"/>
      <c r="P147" s="140"/>
      <c r="Q147" s="152"/>
      <c r="R147" s="133"/>
      <c r="S147" s="153"/>
      <c r="T147" s="133"/>
      <c r="U147" s="152"/>
      <c r="V147" s="152"/>
      <c r="W147" s="152"/>
      <c r="X147" s="133"/>
      <c r="Y147" s="152"/>
      <c r="Z147" s="152"/>
      <c r="AA147" s="388"/>
      <c r="AB147" s="388"/>
      <c r="AC147" s="388"/>
      <c r="AD147" s="388"/>
      <c r="AE147" s="388"/>
      <c r="AF147" s="388"/>
      <c r="AG147" s="388"/>
      <c r="AH147" s="388"/>
      <c r="AI147" s="388"/>
      <c r="AJ147" s="388"/>
      <c r="AK147" s="388"/>
      <c r="AL147" s="388"/>
      <c r="AM147" s="388"/>
      <c r="AN147" s="388"/>
      <c r="AO147" s="388"/>
    </row>
    <row r="148" spans="2:41">
      <c r="B148" s="384"/>
      <c r="C148" s="48"/>
      <c r="D148" s="384"/>
      <c r="E148" s="131"/>
      <c r="F148" s="445"/>
      <c r="G148" s="140"/>
      <c r="H148" s="140"/>
      <c r="I148" s="140"/>
      <c r="J148" s="445"/>
      <c r="K148" s="445"/>
      <c r="L148" s="445"/>
      <c r="M148" s="445"/>
      <c r="N148" s="445"/>
      <c r="O148" s="140"/>
      <c r="P148" s="140"/>
      <c r="Q148" s="152"/>
      <c r="R148" s="133"/>
      <c r="S148" s="153"/>
      <c r="T148" s="133"/>
      <c r="U148" s="152"/>
      <c r="V148" s="152"/>
      <c r="W148" s="152"/>
      <c r="X148" s="133"/>
      <c r="Y148" s="152"/>
      <c r="Z148" s="152"/>
      <c r="AA148" s="388"/>
      <c r="AB148" s="388"/>
      <c r="AC148" s="388"/>
      <c r="AD148" s="388"/>
      <c r="AE148" s="388"/>
      <c r="AF148" s="388"/>
      <c r="AG148" s="388"/>
      <c r="AH148" s="388"/>
      <c r="AI148" s="388"/>
      <c r="AJ148" s="388"/>
      <c r="AK148" s="388"/>
      <c r="AL148" s="388"/>
      <c r="AM148" s="388"/>
      <c r="AN148" s="388"/>
      <c r="AO148" s="388"/>
    </row>
    <row r="149" spans="2:41">
      <c r="B149" s="384"/>
      <c r="C149" s="390"/>
      <c r="D149" s="384"/>
      <c r="E149" s="131"/>
      <c r="F149" s="140"/>
      <c r="G149" s="443"/>
      <c r="H149" s="443"/>
      <c r="I149" s="443"/>
      <c r="J149" s="140"/>
      <c r="K149" s="140"/>
      <c r="L149" s="140"/>
      <c r="M149" s="139"/>
      <c r="N149" s="139"/>
      <c r="O149" s="140"/>
      <c r="P149" s="140"/>
      <c r="Q149" s="152"/>
      <c r="R149" s="142"/>
      <c r="S149" s="153"/>
      <c r="T149" s="142"/>
      <c r="U149" s="154"/>
      <c r="V149" s="154"/>
      <c r="W149" s="152"/>
      <c r="X149" s="133"/>
      <c r="Y149" s="154"/>
      <c r="Z149" s="152"/>
      <c r="AA149" s="388"/>
      <c r="AB149" s="388"/>
      <c r="AC149" s="388"/>
      <c r="AD149" s="388"/>
      <c r="AE149" s="388"/>
      <c r="AF149" s="388"/>
      <c r="AG149" s="388"/>
      <c r="AH149" s="388"/>
      <c r="AI149" s="388"/>
      <c r="AJ149" s="388"/>
      <c r="AK149" s="388"/>
      <c r="AL149" s="388"/>
      <c r="AM149" s="388"/>
      <c r="AN149" s="388"/>
      <c r="AO149" s="388"/>
    </row>
    <row r="150" spans="2:41">
      <c r="B150" s="384"/>
      <c r="C150" s="48"/>
      <c r="D150" s="384"/>
      <c r="E150" s="131"/>
      <c r="F150" s="110"/>
      <c r="G150" s="110"/>
      <c r="H150" s="110"/>
      <c r="I150" s="391"/>
      <c r="J150" s="391"/>
      <c r="K150" s="391"/>
      <c r="L150" s="391"/>
      <c r="M150" s="391"/>
      <c r="N150" s="391"/>
      <c r="O150" s="140"/>
      <c r="P150" s="140"/>
      <c r="Q150" s="133"/>
      <c r="R150" s="133"/>
      <c r="S150" s="125"/>
      <c r="T150" s="133"/>
      <c r="U150" s="133"/>
      <c r="V150" s="133"/>
      <c r="W150" s="133"/>
      <c r="X150" s="133"/>
      <c r="Y150" s="133"/>
      <c r="Z150" s="133"/>
      <c r="AA150" s="388"/>
      <c r="AB150" s="388"/>
      <c r="AC150" s="388"/>
      <c r="AD150" s="388"/>
      <c r="AE150" s="388"/>
      <c r="AF150" s="388"/>
      <c r="AG150" s="388"/>
      <c r="AH150" s="388"/>
      <c r="AI150" s="388"/>
      <c r="AJ150" s="388"/>
      <c r="AK150" s="388"/>
      <c r="AL150" s="388"/>
      <c r="AM150" s="388"/>
      <c r="AN150" s="388"/>
      <c r="AO150" s="388"/>
    </row>
    <row r="151" spans="2:41">
      <c r="B151" s="384"/>
      <c r="C151" s="390"/>
      <c r="D151" s="384"/>
      <c r="E151" s="131"/>
      <c r="F151" s="445"/>
      <c r="G151" s="140"/>
      <c r="H151" s="140"/>
      <c r="I151" s="140"/>
      <c r="J151" s="140"/>
      <c r="K151" s="139"/>
      <c r="L151" s="445"/>
      <c r="M151" s="140"/>
      <c r="N151" s="140"/>
      <c r="O151" s="140"/>
      <c r="P151" s="140"/>
      <c r="Q151" s="152"/>
      <c r="R151" s="133"/>
      <c r="S151" s="153"/>
      <c r="T151" s="133"/>
      <c r="U151" s="133"/>
      <c r="V151" s="154"/>
      <c r="W151" s="152"/>
      <c r="X151" s="133"/>
      <c r="Y151" s="154"/>
      <c r="Z151" s="154"/>
      <c r="AA151" s="388"/>
      <c r="AB151" s="388"/>
      <c r="AC151" s="388"/>
      <c r="AD151" s="388"/>
      <c r="AE151" s="388"/>
      <c r="AF151" s="388"/>
      <c r="AG151" s="388"/>
      <c r="AH151" s="388"/>
      <c r="AI151" s="388"/>
      <c r="AJ151" s="388"/>
      <c r="AK151" s="388"/>
      <c r="AL151" s="388"/>
      <c r="AM151" s="388"/>
      <c r="AN151" s="388"/>
      <c r="AO151" s="388"/>
    </row>
    <row r="152" spans="2:41">
      <c r="B152" s="384"/>
      <c r="C152" s="390"/>
      <c r="D152" s="384"/>
      <c r="E152" s="131"/>
      <c r="F152" s="140"/>
      <c r="G152" s="443"/>
      <c r="H152" s="443"/>
      <c r="I152" s="443"/>
      <c r="J152" s="140"/>
      <c r="K152" s="140"/>
      <c r="L152" s="140"/>
      <c r="M152" s="139"/>
      <c r="N152" s="140"/>
      <c r="O152" s="140"/>
      <c r="P152" s="140"/>
      <c r="Q152" s="154"/>
      <c r="R152" s="146"/>
      <c r="S152" s="153"/>
      <c r="T152" s="146"/>
      <c r="U152" s="154"/>
      <c r="V152" s="154"/>
      <c r="W152" s="152"/>
      <c r="X152" s="133"/>
      <c r="Y152" s="154"/>
      <c r="Z152" s="154"/>
      <c r="AA152" s="388"/>
      <c r="AB152" s="388"/>
      <c r="AC152" s="388"/>
      <c r="AD152" s="388"/>
      <c r="AE152" s="388"/>
      <c r="AF152" s="388"/>
      <c r="AG152" s="388"/>
      <c r="AH152" s="388"/>
      <c r="AI152" s="388"/>
      <c r="AJ152" s="388"/>
      <c r="AK152" s="388"/>
      <c r="AL152" s="388"/>
      <c r="AM152" s="388"/>
      <c r="AN152" s="388"/>
      <c r="AO152" s="388"/>
    </row>
    <row r="153" spans="2:41">
      <c r="B153" s="384"/>
      <c r="C153" s="48"/>
      <c r="D153" s="384"/>
      <c r="E153" s="131"/>
      <c r="F153" s="445"/>
      <c r="G153" s="140"/>
      <c r="H153" s="140"/>
      <c r="I153" s="140"/>
      <c r="J153" s="445"/>
      <c r="K153" s="445"/>
      <c r="L153" s="445"/>
      <c r="M153" s="445"/>
      <c r="N153" s="445"/>
      <c r="O153" s="140"/>
      <c r="P153" s="140"/>
      <c r="Q153" s="152"/>
      <c r="R153" s="133"/>
      <c r="S153" s="153"/>
      <c r="T153" s="133"/>
      <c r="U153" s="152"/>
      <c r="V153" s="152"/>
      <c r="W153" s="152"/>
      <c r="X153" s="133"/>
      <c r="Y153" s="152"/>
      <c r="Z153" s="152"/>
      <c r="AA153" s="388"/>
      <c r="AB153" s="388"/>
      <c r="AC153" s="388"/>
      <c r="AD153" s="388"/>
      <c r="AE153" s="388"/>
      <c r="AF153" s="388"/>
      <c r="AG153" s="388"/>
      <c r="AH153" s="388"/>
      <c r="AI153" s="388"/>
      <c r="AJ153" s="388"/>
      <c r="AK153" s="388"/>
      <c r="AL153" s="388"/>
      <c r="AM153" s="388"/>
      <c r="AN153" s="388"/>
      <c r="AO153" s="388"/>
    </row>
    <row r="154" spans="2:41">
      <c r="B154" s="384"/>
      <c r="C154" s="390"/>
      <c r="D154" s="384"/>
      <c r="E154" s="131"/>
      <c r="F154" s="140"/>
      <c r="G154" s="448"/>
      <c r="H154" s="448"/>
      <c r="I154" s="448"/>
      <c r="J154" s="443"/>
      <c r="K154" s="140"/>
      <c r="L154" s="140"/>
      <c r="M154" s="140"/>
      <c r="N154" s="140"/>
      <c r="O154" s="140"/>
      <c r="P154" s="140"/>
      <c r="Q154" s="154"/>
      <c r="R154" s="146"/>
      <c r="S154" s="153"/>
      <c r="T154" s="146"/>
      <c r="U154" s="154"/>
      <c r="V154" s="154"/>
      <c r="W154" s="152"/>
      <c r="X154" s="133"/>
      <c r="Y154" s="154"/>
      <c r="Z154" s="154"/>
      <c r="AA154" s="388"/>
      <c r="AB154" s="388"/>
      <c r="AC154" s="388"/>
      <c r="AD154" s="388"/>
      <c r="AE154" s="388"/>
      <c r="AF154" s="388"/>
      <c r="AG154" s="388"/>
      <c r="AH154" s="388"/>
      <c r="AI154" s="388"/>
      <c r="AJ154" s="388"/>
      <c r="AK154" s="388"/>
      <c r="AL154" s="388"/>
      <c r="AM154" s="388"/>
      <c r="AN154" s="388"/>
      <c r="AO154" s="388"/>
    </row>
    <row r="155" spans="2:41">
      <c r="B155" s="384"/>
      <c r="C155" s="48"/>
      <c r="D155" s="384"/>
      <c r="E155" s="131"/>
      <c r="F155" s="445"/>
      <c r="G155" s="140"/>
      <c r="H155" s="140"/>
      <c r="I155" s="140"/>
      <c r="J155" s="445"/>
      <c r="K155" s="445"/>
      <c r="L155" s="445"/>
      <c r="M155" s="445"/>
      <c r="N155" s="445"/>
      <c r="O155" s="140"/>
      <c r="P155" s="140"/>
      <c r="Q155" s="152"/>
      <c r="R155" s="133"/>
      <c r="S155" s="153"/>
      <c r="T155" s="133"/>
      <c r="U155" s="152"/>
      <c r="V155" s="152"/>
      <c r="W155" s="152"/>
      <c r="X155" s="133"/>
      <c r="Y155" s="152"/>
      <c r="Z155" s="152"/>
      <c r="AA155" s="388"/>
      <c r="AB155" s="388"/>
      <c r="AC155" s="388"/>
      <c r="AD155" s="388"/>
      <c r="AE155" s="388"/>
      <c r="AF155" s="388"/>
      <c r="AG155" s="388"/>
      <c r="AH155" s="388"/>
      <c r="AI155" s="388"/>
      <c r="AJ155" s="388"/>
      <c r="AK155" s="388"/>
      <c r="AL155" s="388"/>
      <c r="AM155" s="388"/>
      <c r="AN155" s="388"/>
      <c r="AO155" s="388"/>
    </row>
    <row r="156" spans="2:41">
      <c r="B156" s="384"/>
      <c r="C156" s="384"/>
      <c r="D156" s="384"/>
      <c r="E156" s="385"/>
      <c r="F156" s="445"/>
      <c r="G156" s="140"/>
      <c r="H156" s="140"/>
      <c r="I156" s="140"/>
      <c r="J156" s="445"/>
      <c r="K156" s="445"/>
      <c r="L156" s="445"/>
      <c r="M156" s="445"/>
      <c r="N156" s="445"/>
      <c r="O156" s="140"/>
      <c r="P156" s="140"/>
      <c r="Q156" s="152"/>
      <c r="R156" s="133"/>
      <c r="S156" s="153"/>
      <c r="T156" s="133"/>
      <c r="U156" s="152"/>
      <c r="V156" s="152"/>
      <c r="W156" s="152"/>
      <c r="X156" s="133"/>
      <c r="Y156" s="152"/>
      <c r="Z156" s="152"/>
      <c r="AA156" s="388"/>
      <c r="AB156" s="388"/>
      <c r="AC156" s="388"/>
      <c r="AD156" s="388"/>
      <c r="AE156" s="388"/>
      <c r="AF156" s="388"/>
      <c r="AG156" s="388"/>
      <c r="AH156" s="388"/>
      <c r="AI156" s="388"/>
      <c r="AJ156" s="388"/>
      <c r="AK156" s="388"/>
      <c r="AL156" s="388"/>
      <c r="AM156" s="388"/>
      <c r="AN156" s="388"/>
      <c r="AO156" s="388"/>
    </row>
    <row r="157" spans="2:41">
      <c r="B157" s="384"/>
      <c r="C157" s="390"/>
      <c r="D157" s="384"/>
      <c r="E157" s="131"/>
      <c r="F157" s="139"/>
      <c r="G157" s="443"/>
      <c r="H157" s="443"/>
      <c r="I157" s="443"/>
      <c r="J157" s="140"/>
      <c r="K157" s="140"/>
      <c r="L157" s="139"/>
      <c r="M157" s="139"/>
      <c r="N157" s="139"/>
      <c r="O157" s="140"/>
      <c r="P157" s="140"/>
      <c r="Q157" s="154"/>
      <c r="R157" s="146"/>
      <c r="S157" s="153"/>
      <c r="T157" s="146"/>
      <c r="U157" s="154"/>
      <c r="V157" s="154"/>
      <c r="W157" s="152"/>
      <c r="X157" s="133"/>
      <c r="Y157" s="154"/>
      <c r="Z157" s="154"/>
      <c r="AA157" s="388"/>
      <c r="AB157" s="388"/>
      <c r="AC157" s="388"/>
      <c r="AD157" s="388"/>
      <c r="AE157" s="388"/>
      <c r="AF157" s="388"/>
      <c r="AG157" s="388"/>
      <c r="AH157" s="388"/>
      <c r="AI157" s="388"/>
      <c r="AJ157" s="388"/>
      <c r="AK157" s="388"/>
      <c r="AL157" s="388"/>
      <c r="AM157" s="388"/>
      <c r="AN157" s="388"/>
      <c r="AO157" s="388"/>
    </row>
    <row r="158" spans="2:41">
      <c r="B158" s="384"/>
      <c r="C158" s="384"/>
      <c r="D158" s="384"/>
      <c r="E158" s="385"/>
      <c r="F158" s="445"/>
      <c r="G158" s="140"/>
      <c r="H158" s="140"/>
      <c r="I158" s="140"/>
      <c r="J158" s="445"/>
      <c r="K158" s="445"/>
      <c r="L158" s="445"/>
      <c r="M158" s="445"/>
      <c r="N158" s="445"/>
      <c r="O158" s="140"/>
      <c r="P158" s="140"/>
      <c r="Q158" s="152"/>
      <c r="R158" s="133"/>
      <c r="S158" s="153"/>
      <c r="T158" s="133"/>
      <c r="U158" s="152"/>
      <c r="V158" s="152"/>
      <c r="W158" s="152"/>
      <c r="X158" s="133"/>
      <c r="Y158" s="152"/>
      <c r="Z158" s="152"/>
      <c r="AA158" s="388"/>
      <c r="AB158" s="388"/>
      <c r="AC158" s="388"/>
      <c r="AD158" s="388"/>
      <c r="AE158" s="388"/>
      <c r="AF158" s="388"/>
      <c r="AG158" s="388"/>
      <c r="AH158" s="388"/>
      <c r="AI158" s="388"/>
      <c r="AJ158" s="388"/>
      <c r="AK158" s="388"/>
      <c r="AL158" s="388"/>
      <c r="AM158" s="388"/>
      <c r="AN158" s="388"/>
      <c r="AO158" s="388"/>
    </row>
    <row r="159" spans="2:41">
      <c r="B159" s="384"/>
      <c r="C159" s="384"/>
      <c r="D159" s="384"/>
      <c r="E159" s="385"/>
      <c r="F159" s="139"/>
      <c r="G159" s="140"/>
      <c r="H159" s="140"/>
      <c r="I159" s="140"/>
      <c r="J159" s="139"/>
      <c r="K159" s="139"/>
      <c r="L159" s="139"/>
      <c r="M159" s="139"/>
      <c r="N159" s="139"/>
      <c r="O159" s="140"/>
      <c r="P159" s="140"/>
      <c r="Q159" s="154"/>
      <c r="R159" s="133"/>
      <c r="S159" s="153"/>
      <c r="T159" s="133"/>
      <c r="U159" s="154"/>
      <c r="V159" s="154"/>
      <c r="W159" s="154"/>
      <c r="X159" s="133"/>
      <c r="Y159" s="154"/>
      <c r="Z159" s="154"/>
      <c r="AA159" s="388"/>
      <c r="AB159" s="388"/>
      <c r="AC159" s="388"/>
      <c r="AD159" s="388"/>
      <c r="AE159" s="388"/>
      <c r="AF159" s="388"/>
      <c r="AG159" s="388"/>
      <c r="AH159" s="388"/>
      <c r="AI159" s="388"/>
      <c r="AJ159" s="388"/>
      <c r="AK159" s="388"/>
      <c r="AL159" s="388"/>
      <c r="AM159" s="388"/>
      <c r="AN159" s="388"/>
      <c r="AO159" s="388"/>
    </row>
    <row r="160" spans="2:41">
      <c r="B160" s="384"/>
      <c r="C160" s="384"/>
      <c r="D160" s="384"/>
      <c r="E160" s="385"/>
      <c r="F160" s="445"/>
      <c r="G160" s="140"/>
      <c r="H160" s="140"/>
      <c r="I160" s="140"/>
      <c r="J160" s="445"/>
      <c r="K160" s="445"/>
      <c r="L160" s="445"/>
      <c r="M160" s="445"/>
      <c r="N160" s="445"/>
      <c r="O160" s="140"/>
      <c r="P160" s="140"/>
      <c r="Q160" s="152"/>
      <c r="R160" s="133"/>
      <c r="S160" s="153"/>
      <c r="T160" s="133"/>
      <c r="U160" s="152"/>
      <c r="V160" s="152"/>
      <c r="W160" s="152"/>
      <c r="X160" s="133"/>
      <c r="Y160" s="152"/>
      <c r="Z160" s="152"/>
      <c r="AA160" s="388"/>
      <c r="AB160" s="388"/>
      <c r="AC160" s="388"/>
      <c r="AD160" s="388"/>
      <c r="AE160" s="388"/>
      <c r="AF160" s="388"/>
      <c r="AG160" s="388"/>
      <c r="AH160" s="388"/>
      <c r="AI160" s="388"/>
      <c r="AJ160" s="388"/>
      <c r="AK160" s="388"/>
      <c r="AL160" s="388"/>
      <c r="AM160" s="388"/>
      <c r="AN160" s="388"/>
      <c r="AO160" s="388"/>
    </row>
    <row r="161" spans="2:41">
      <c r="B161" s="384"/>
      <c r="C161" s="384"/>
      <c r="D161" s="384"/>
      <c r="E161" s="385"/>
      <c r="F161" s="139"/>
      <c r="G161" s="140"/>
      <c r="H161" s="140"/>
      <c r="I161" s="140"/>
      <c r="J161" s="139"/>
      <c r="K161" s="139"/>
      <c r="L161" s="139"/>
      <c r="M161" s="139"/>
      <c r="N161" s="139"/>
      <c r="O161" s="140"/>
      <c r="P161" s="140"/>
      <c r="Q161" s="154"/>
      <c r="R161" s="133"/>
      <c r="S161" s="153"/>
      <c r="T161" s="133"/>
      <c r="U161" s="154"/>
      <c r="V161" s="154"/>
      <c r="W161" s="154"/>
      <c r="X161" s="133"/>
      <c r="Y161" s="154"/>
      <c r="Z161" s="154"/>
      <c r="AA161" s="388"/>
      <c r="AB161" s="388"/>
      <c r="AC161" s="388"/>
      <c r="AD161" s="388"/>
      <c r="AE161" s="388"/>
      <c r="AF161" s="388"/>
      <c r="AG161" s="388"/>
      <c r="AH161" s="388"/>
      <c r="AI161" s="388"/>
      <c r="AJ161" s="388"/>
      <c r="AK161" s="388"/>
      <c r="AL161" s="388"/>
      <c r="AM161" s="388"/>
      <c r="AN161" s="388"/>
      <c r="AO161" s="388"/>
    </row>
    <row r="162" spans="2:41">
      <c r="B162" s="384"/>
      <c r="C162" s="384"/>
      <c r="D162" s="384"/>
      <c r="E162" s="385"/>
      <c r="F162" s="139"/>
      <c r="G162" s="140"/>
      <c r="H162" s="140"/>
      <c r="I162" s="140"/>
      <c r="J162" s="139"/>
      <c r="K162" s="139"/>
      <c r="L162" s="139"/>
      <c r="M162" s="139"/>
      <c r="N162" s="139"/>
      <c r="O162" s="140"/>
      <c r="P162" s="140"/>
      <c r="Q162" s="154"/>
      <c r="R162" s="133"/>
      <c r="S162" s="153"/>
      <c r="T162" s="133"/>
      <c r="U162" s="154"/>
      <c r="V162" s="154"/>
      <c r="W162" s="154"/>
      <c r="X162" s="133"/>
      <c r="Y162" s="154"/>
      <c r="Z162" s="154"/>
      <c r="AA162" s="388"/>
      <c r="AB162" s="388"/>
      <c r="AC162" s="388"/>
      <c r="AD162" s="388"/>
      <c r="AE162" s="388"/>
      <c r="AF162" s="388"/>
      <c r="AG162" s="388"/>
      <c r="AH162" s="388"/>
      <c r="AI162" s="388"/>
      <c r="AJ162" s="388"/>
      <c r="AK162" s="388"/>
      <c r="AL162" s="388"/>
      <c r="AM162" s="388"/>
      <c r="AN162" s="388"/>
      <c r="AO162" s="388"/>
    </row>
    <row r="163" spans="2:41">
      <c r="B163" s="384"/>
      <c r="C163" s="384"/>
      <c r="D163" s="384"/>
      <c r="E163" s="385"/>
      <c r="F163" s="139"/>
      <c r="G163" s="140"/>
      <c r="H163" s="140"/>
      <c r="I163" s="140"/>
      <c r="J163" s="139"/>
      <c r="K163" s="139"/>
      <c r="L163" s="139"/>
      <c r="M163" s="139"/>
      <c r="N163" s="139"/>
      <c r="O163" s="140"/>
      <c r="P163" s="140"/>
      <c r="Q163" s="154"/>
      <c r="R163" s="133"/>
      <c r="S163" s="153"/>
      <c r="T163" s="133"/>
      <c r="U163" s="154"/>
      <c r="V163" s="154"/>
      <c r="W163" s="154"/>
      <c r="X163" s="133"/>
      <c r="Y163" s="154"/>
      <c r="Z163" s="154"/>
      <c r="AA163" s="388"/>
      <c r="AB163" s="388"/>
      <c r="AC163" s="388"/>
      <c r="AD163" s="388"/>
      <c r="AE163" s="388"/>
      <c r="AF163" s="388"/>
      <c r="AG163" s="388"/>
      <c r="AH163" s="388"/>
      <c r="AI163" s="388"/>
      <c r="AJ163" s="388"/>
      <c r="AK163" s="388"/>
      <c r="AL163" s="388"/>
      <c r="AM163" s="388"/>
      <c r="AN163" s="388"/>
      <c r="AO163" s="388"/>
    </row>
    <row r="164" spans="2:41">
      <c r="B164" s="384"/>
      <c r="C164" s="390"/>
      <c r="D164" s="384"/>
      <c r="E164" s="131"/>
      <c r="F164" s="326"/>
      <c r="G164" s="140"/>
      <c r="H164" s="140"/>
      <c r="I164" s="140"/>
      <c r="J164" s="140"/>
      <c r="K164" s="140"/>
      <c r="L164" s="140"/>
      <c r="M164" s="140"/>
      <c r="N164" s="140"/>
      <c r="O164" s="140"/>
      <c r="P164" s="140"/>
      <c r="Q164" s="133"/>
      <c r="R164" s="133"/>
      <c r="S164" s="125"/>
      <c r="T164" s="133"/>
      <c r="U164" s="133"/>
      <c r="V164" s="133"/>
      <c r="W164" s="133"/>
      <c r="X164" s="133"/>
      <c r="Y164" s="133"/>
      <c r="Z164" s="133"/>
      <c r="AA164" s="388"/>
      <c r="AB164" s="388"/>
      <c r="AC164" s="388"/>
      <c r="AD164" s="388"/>
      <c r="AE164" s="388"/>
      <c r="AF164" s="388"/>
      <c r="AG164" s="388"/>
      <c r="AH164" s="388"/>
      <c r="AI164" s="388"/>
      <c r="AJ164" s="388"/>
      <c r="AK164" s="388"/>
      <c r="AL164" s="388"/>
      <c r="AM164" s="388"/>
      <c r="AN164" s="388"/>
      <c r="AO164" s="388"/>
    </row>
    <row r="165" spans="2:41">
      <c r="B165" s="384"/>
      <c r="C165" s="48"/>
      <c r="D165" s="384"/>
      <c r="E165" s="131"/>
      <c r="F165" s="110"/>
      <c r="G165" s="110"/>
      <c r="H165" s="110"/>
      <c r="I165" s="391"/>
      <c r="J165" s="391"/>
      <c r="K165" s="391"/>
      <c r="L165" s="391"/>
      <c r="M165" s="391"/>
      <c r="N165" s="391"/>
      <c r="O165" s="140"/>
      <c r="P165" s="140"/>
      <c r="Q165" s="133"/>
      <c r="R165" s="133"/>
      <c r="S165" s="125"/>
      <c r="T165" s="133"/>
      <c r="U165" s="133"/>
      <c r="V165" s="133"/>
      <c r="W165" s="133"/>
      <c r="X165" s="133"/>
      <c r="Y165" s="133"/>
      <c r="Z165" s="133"/>
      <c r="AA165" s="388"/>
      <c r="AB165" s="388"/>
      <c r="AC165" s="388"/>
      <c r="AD165" s="388"/>
      <c r="AE165" s="388"/>
      <c r="AF165" s="388"/>
      <c r="AG165" s="388"/>
      <c r="AH165" s="388"/>
      <c r="AI165" s="388"/>
      <c r="AJ165" s="388"/>
      <c r="AK165" s="388"/>
      <c r="AL165" s="388"/>
      <c r="AM165" s="388"/>
      <c r="AN165" s="388"/>
      <c r="AO165" s="388"/>
    </row>
    <row r="166" spans="2:41">
      <c r="B166" s="384"/>
      <c r="C166" s="390"/>
      <c r="D166" s="384"/>
      <c r="E166" s="131"/>
      <c r="F166" s="140"/>
      <c r="G166" s="140"/>
      <c r="H166" s="140"/>
      <c r="I166" s="140"/>
      <c r="J166" s="140"/>
      <c r="K166" s="140"/>
      <c r="L166" s="140"/>
      <c r="M166" s="140"/>
      <c r="N166" s="140"/>
      <c r="O166" s="140"/>
      <c r="P166" s="140"/>
      <c r="Q166" s="133"/>
      <c r="R166" s="133"/>
      <c r="S166" s="125"/>
      <c r="T166" s="133"/>
      <c r="U166" s="133"/>
      <c r="V166" s="133"/>
      <c r="W166" s="133"/>
      <c r="X166" s="133"/>
      <c r="Y166" s="133"/>
      <c r="Z166" s="133"/>
      <c r="AA166" s="388"/>
      <c r="AB166" s="388"/>
      <c r="AC166" s="388"/>
      <c r="AD166" s="388"/>
      <c r="AE166" s="388"/>
      <c r="AF166" s="388"/>
      <c r="AG166" s="388"/>
      <c r="AH166" s="388"/>
      <c r="AI166" s="388"/>
      <c r="AJ166" s="388"/>
      <c r="AK166" s="388"/>
      <c r="AL166" s="388"/>
      <c r="AM166" s="388"/>
      <c r="AN166" s="388"/>
      <c r="AO166" s="388"/>
    </row>
    <row r="167" spans="2:41">
      <c r="B167" s="384"/>
      <c r="C167" s="384"/>
      <c r="D167" s="384"/>
      <c r="E167" s="385"/>
      <c r="F167" s="391"/>
      <c r="G167" s="391"/>
      <c r="H167" s="391"/>
      <c r="I167" s="391"/>
      <c r="J167" s="391"/>
      <c r="K167" s="391"/>
      <c r="L167" s="391"/>
      <c r="M167" s="391"/>
      <c r="N167" s="391"/>
      <c r="O167" s="140"/>
      <c r="P167" s="140"/>
      <c r="Q167" s="388"/>
      <c r="R167" s="388"/>
      <c r="S167" s="388"/>
      <c r="T167" s="388"/>
      <c r="U167" s="388"/>
      <c r="V167" s="388"/>
      <c r="W167" s="388"/>
      <c r="X167" s="388"/>
      <c r="Y167" s="388"/>
      <c r="Z167" s="388"/>
      <c r="AA167" s="388"/>
      <c r="AB167" s="388"/>
      <c r="AC167" s="388"/>
      <c r="AD167" s="388"/>
      <c r="AE167" s="388"/>
      <c r="AF167" s="388"/>
      <c r="AG167" s="388"/>
      <c r="AH167" s="388"/>
      <c r="AI167" s="388"/>
      <c r="AJ167" s="388"/>
      <c r="AK167" s="388"/>
      <c r="AL167" s="388"/>
      <c r="AM167" s="388"/>
      <c r="AN167" s="388"/>
      <c r="AO167" s="388"/>
    </row>
    <row r="168" spans="2:41">
      <c r="B168" s="384"/>
      <c r="C168" s="384"/>
      <c r="D168" s="384"/>
      <c r="E168" s="385"/>
      <c r="F168" s="391"/>
      <c r="G168" s="391"/>
      <c r="H168" s="391"/>
      <c r="I168" s="391"/>
      <c r="J168" s="391"/>
      <c r="K168" s="391"/>
      <c r="L168" s="391"/>
      <c r="M168" s="391"/>
      <c r="N168" s="391"/>
      <c r="O168" s="140"/>
      <c r="P168" s="140"/>
      <c r="Q168" s="388"/>
      <c r="R168" s="388"/>
      <c r="S168" s="388"/>
      <c r="T168" s="388"/>
      <c r="U168" s="388"/>
      <c r="V168" s="388"/>
      <c r="W168" s="388"/>
      <c r="X168" s="388"/>
      <c r="Y168" s="388"/>
      <c r="Z168" s="388"/>
      <c r="AA168" s="388"/>
      <c r="AB168" s="388"/>
      <c r="AC168" s="388"/>
      <c r="AD168" s="388"/>
      <c r="AE168" s="388"/>
      <c r="AF168" s="388"/>
      <c r="AG168" s="388"/>
      <c r="AH168" s="388"/>
      <c r="AI168" s="388"/>
      <c r="AJ168" s="388"/>
      <c r="AK168" s="388"/>
      <c r="AL168" s="388"/>
      <c r="AM168" s="388"/>
      <c r="AN168" s="388"/>
      <c r="AO168" s="388"/>
    </row>
    <row r="169" spans="2:41">
      <c r="B169" s="384"/>
      <c r="C169" s="384"/>
      <c r="D169" s="384"/>
      <c r="E169" s="385"/>
      <c r="F169" s="391"/>
      <c r="G169" s="391"/>
      <c r="H169" s="391"/>
      <c r="I169" s="391"/>
      <c r="J169" s="391"/>
      <c r="K169" s="391"/>
      <c r="L169" s="391"/>
      <c r="M169" s="391"/>
      <c r="N169" s="391"/>
      <c r="O169" s="140"/>
      <c r="P169" s="140"/>
      <c r="Q169" s="388"/>
      <c r="R169" s="388"/>
      <c r="S169" s="388"/>
      <c r="T169" s="388"/>
      <c r="U169" s="388"/>
      <c r="V169" s="388"/>
      <c r="W169" s="388"/>
      <c r="X169" s="388"/>
      <c r="Y169" s="388"/>
      <c r="Z169" s="388"/>
      <c r="AA169" s="388"/>
      <c r="AB169" s="388"/>
      <c r="AC169" s="388"/>
      <c r="AD169" s="388"/>
      <c r="AE169" s="388"/>
      <c r="AF169" s="388"/>
      <c r="AG169" s="388"/>
      <c r="AH169" s="388"/>
      <c r="AI169" s="388"/>
      <c r="AJ169" s="388"/>
      <c r="AK169" s="388"/>
      <c r="AL169" s="388"/>
      <c r="AM169" s="388"/>
      <c r="AN169" s="388"/>
      <c r="AO169" s="388"/>
    </row>
    <row r="170" spans="2:41">
      <c r="B170" s="384"/>
      <c r="C170" s="384"/>
      <c r="D170" s="384"/>
      <c r="E170" s="385"/>
      <c r="F170" s="391"/>
      <c r="G170" s="391"/>
      <c r="H170" s="391"/>
      <c r="I170" s="391"/>
      <c r="J170" s="391"/>
      <c r="K170" s="391"/>
      <c r="L170" s="391"/>
      <c r="M170" s="391"/>
      <c r="N170" s="391"/>
      <c r="O170" s="140"/>
      <c r="P170" s="140"/>
      <c r="Q170" s="388"/>
      <c r="R170" s="388"/>
      <c r="S170" s="388"/>
      <c r="T170" s="388"/>
      <c r="U170" s="388"/>
      <c r="V170" s="388"/>
      <c r="W170" s="388"/>
      <c r="X170" s="388"/>
      <c r="Y170" s="388"/>
      <c r="Z170" s="388"/>
      <c r="AA170" s="388"/>
      <c r="AB170" s="388"/>
      <c r="AC170" s="388"/>
      <c r="AD170" s="388"/>
      <c r="AE170" s="388"/>
      <c r="AF170" s="388"/>
      <c r="AG170" s="388"/>
      <c r="AH170" s="388"/>
      <c r="AI170" s="388"/>
      <c r="AJ170" s="388"/>
      <c r="AK170" s="388"/>
      <c r="AL170" s="388"/>
      <c r="AM170" s="388"/>
      <c r="AN170" s="388"/>
      <c r="AO170" s="388"/>
    </row>
    <row r="171" spans="2:41">
      <c r="B171" s="384"/>
      <c r="C171" s="384"/>
      <c r="D171" s="384"/>
      <c r="E171" s="385"/>
      <c r="F171" s="391"/>
      <c r="G171" s="391"/>
      <c r="H171" s="391"/>
      <c r="I171" s="391"/>
      <c r="J171" s="391"/>
      <c r="K171" s="391"/>
      <c r="L171" s="391"/>
      <c r="M171" s="391"/>
      <c r="N171" s="391"/>
      <c r="O171" s="140"/>
      <c r="P171" s="140"/>
      <c r="Q171" s="388"/>
      <c r="R171" s="388"/>
      <c r="S171" s="388"/>
      <c r="T171" s="388"/>
      <c r="U171" s="388"/>
      <c r="V171" s="388"/>
      <c r="W171" s="388"/>
      <c r="X171" s="388"/>
      <c r="Y171" s="388"/>
      <c r="Z171" s="388"/>
      <c r="AA171" s="388"/>
      <c r="AB171" s="388"/>
      <c r="AC171" s="388"/>
      <c r="AD171" s="388"/>
      <c r="AE171" s="388"/>
      <c r="AF171" s="388"/>
      <c r="AG171" s="388"/>
      <c r="AH171" s="388"/>
      <c r="AI171" s="388"/>
      <c r="AJ171" s="388"/>
      <c r="AK171" s="388"/>
      <c r="AL171" s="388"/>
      <c r="AM171" s="388"/>
      <c r="AN171" s="388"/>
      <c r="AO171" s="388"/>
    </row>
    <row r="172" spans="2:41">
      <c r="B172" s="384"/>
      <c r="C172" s="384"/>
      <c r="D172" s="384"/>
      <c r="E172" s="110"/>
      <c r="F172" s="140"/>
      <c r="G172" s="446"/>
      <c r="H172" s="446"/>
      <c r="I172" s="446"/>
      <c r="J172" s="140"/>
      <c r="K172" s="140"/>
      <c r="L172" s="140"/>
      <c r="M172" s="140"/>
      <c r="N172" s="140"/>
      <c r="O172" s="140"/>
      <c r="P172" s="140"/>
      <c r="Q172" s="388"/>
      <c r="R172" s="388"/>
      <c r="S172" s="388"/>
      <c r="T172" s="388"/>
      <c r="U172" s="388"/>
      <c r="V172" s="388"/>
      <c r="W172" s="388"/>
      <c r="X172" s="388"/>
      <c r="Y172" s="388"/>
      <c r="Z172" s="388"/>
      <c r="AA172" s="388"/>
      <c r="AB172" s="388"/>
      <c r="AC172" s="388"/>
      <c r="AD172" s="388"/>
      <c r="AE172" s="388"/>
      <c r="AF172" s="388"/>
      <c r="AG172" s="388"/>
      <c r="AH172" s="388"/>
      <c r="AI172" s="388"/>
      <c r="AJ172" s="388"/>
      <c r="AK172" s="388"/>
      <c r="AL172" s="388"/>
      <c r="AM172" s="388"/>
      <c r="AN172" s="388"/>
      <c r="AO172" s="388"/>
    </row>
    <row r="173" spans="2:41">
      <c r="B173" s="384"/>
      <c r="C173" s="384"/>
      <c r="D173" s="384"/>
      <c r="E173" s="110"/>
      <c r="F173" s="140"/>
      <c r="G173" s="446"/>
      <c r="H173" s="446"/>
      <c r="I173" s="446"/>
      <c r="J173" s="140"/>
      <c r="K173" s="140"/>
      <c r="L173" s="140"/>
      <c r="M173" s="140"/>
      <c r="N173" s="140"/>
      <c r="O173" s="140"/>
      <c r="P173" s="140"/>
      <c r="Q173" s="388"/>
      <c r="R173" s="388"/>
      <c r="S173" s="388"/>
      <c r="T173" s="388"/>
      <c r="U173" s="388"/>
      <c r="V173" s="388"/>
      <c r="W173" s="388"/>
      <c r="X173" s="388"/>
      <c r="Y173" s="388"/>
      <c r="Z173" s="388"/>
      <c r="AA173" s="388"/>
      <c r="AB173" s="388"/>
      <c r="AC173" s="388"/>
      <c r="AD173" s="388"/>
      <c r="AE173" s="388"/>
      <c r="AF173" s="388"/>
      <c r="AG173" s="388"/>
      <c r="AH173" s="388"/>
      <c r="AI173" s="388"/>
      <c r="AJ173" s="388"/>
      <c r="AK173" s="388"/>
      <c r="AL173" s="388"/>
      <c r="AM173" s="388"/>
      <c r="AN173" s="388"/>
      <c r="AO173" s="388"/>
    </row>
    <row r="174" spans="2:41">
      <c r="B174" s="384"/>
      <c r="C174" s="384"/>
      <c r="D174" s="384"/>
      <c r="E174" s="110"/>
      <c r="F174" s="140"/>
      <c r="G174" s="140"/>
      <c r="H174" s="140"/>
      <c r="I174" s="140"/>
      <c r="J174" s="140"/>
      <c r="K174" s="140"/>
      <c r="L174" s="140"/>
      <c r="M174" s="140"/>
      <c r="N174" s="140"/>
      <c r="O174" s="140"/>
      <c r="P174" s="140"/>
      <c r="Q174" s="388"/>
      <c r="R174" s="388"/>
      <c r="S174" s="388"/>
      <c r="T174" s="388"/>
      <c r="U174" s="388"/>
      <c r="V174" s="388"/>
      <c r="W174" s="388"/>
      <c r="X174" s="388"/>
      <c r="Y174" s="388"/>
      <c r="Z174" s="388"/>
      <c r="AA174" s="388"/>
      <c r="AB174" s="388"/>
      <c r="AC174" s="388"/>
      <c r="AD174" s="388"/>
      <c r="AE174" s="388"/>
      <c r="AF174" s="388"/>
      <c r="AG174" s="388"/>
      <c r="AH174" s="388"/>
      <c r="AI174" s="388"/>
      <c r="AJ174" s="388"/>
      <c r="AK174" s="388"/>
      <c r="AL174" s="388"/>
      <c r="AM174" s="388"/>
      <c r="AN174" s="388"/>
      <c r="AO174" s="388"/>
    </row>
    <row r="175" spans="2:41">
      <c r="B175" s="384"/>
      <c r="C175" s="384"/>
      <c r="D175" s="384"/>
      <c r="E175" s="110"/>
      <c r="F175" s="140"/>
      <c r="G175" s="140"/>
      <c r="H175" s="140"/>
      <c r="I175" s="140"/>
      <c r="J175" s="140"/>
      <c r="K175" s="140"/>
      <c r="L175" s="140"/>
      <c r="M175" s="140"/>
      <c r="N175" s="140"/>
      <c r="O175" s="140"/>
      <c r="P175" s="140"/>
      <c r="Q175" s="388"/>
      <c r="R175" s="388"/>
      <c r="S175" s="388"/>
      <c r="T175" s="388"/>
      <c r="U175" s="388"/>
      <c r="V175" s="388"/>
      <c r="W175" s="388"/>
      <c r="X175" s="388"/>
      <c r="Y175" s="388"/>
      <c r="Z175" s="388"/>
      <c r="AA175" s="388"/>
      <c r="AB175" s="388"/>
      <c r="AC175" s="388"/>
      <c r="AD175" s="388"/>
      <c r="AE175" s="388"/>
      <c r="AF175" s="388"/>
      <c r="AG175" s="388"/>
      <c r="AH175" s="388"/>
      <c r="AI175" s="388"/>
      <c r="AJ175" s="388"/>
      <c r="AK175" s="388"/>
      <c r="AL175" s="388"/>
      <c r="AM175" s="388"/>
      <c r="AN175" s="388"/>
      <c r="AO175" s="388"/>
    </row>
    <row r="176" spans="2:41">
      <c r="B176" s="384"/>
      <c r="C176" s="384"/>
      <c r="D176" s="384"/>
      <c r="E176" s="110"/>
      <c r="F176" s="140"/>
      <c r="G176" s="140"/>
      <c r="H176" s="140"/>
      <c r="I176" s="140"/>
      <c r="J176" s="140"/>
      <c r="K176" s="140"/>
      <c r="L176" s="140"/>
      <c r="M176" s="140"/>
      <c r="N176" s="140"/>
      <c r="O176" s="140"/>
      <c r="P176" s="140"/>
      <c r="Q176" s="388"/>
      <c r="R176" s="388"/>
      <c r="S176" s="388"/>
      <c r="T176" s="388"/>
      <c r="U176" s="388"/>
      <c r="V176" s="388"/>
      <c r="W176" s="388"/>
      <c r="X176" s="388"/>
      <c r="Y176" s="388"/>
      <c r="Z176" s="388"/>
      <c r="AA176" s="388"/>
      <c r="AB176" s="388"/>
      <c r="AC176" s="388"/>
      <c r="AD176" s="388"/>
      <c r="AE176" s="388"/>
      <c r="AF176" s="388"/>
      <c r="AG176" s="388"/>
      <c r="AH176" s="388"/>
      <c r="AI176" s="388"/>
      <c r="AJ176" s="388"/>
      <c r="AK176" s="388"/>
      <c r="AL176" s="388"/>
      <c r="AM176" s="388"/>
      <c r="AN176" s="388"/>
      <c r="AO176" s="388"/>
    </row>
    <row r="177" spans="2:41">
      <c r="B177" s="384"/>
      <c r="C177" s="384"/>
      <c r="D177" s="384"/>
      <c r="E177" s="110"/>
      <c r="F177" s="140"/>
      <c r="G177" s="140"/>
      <c r="H177" s="140"/>
      <c r="I177" s="140"/>
      <c r="J177" s="140"/>
      <c r="K177" s="140"/>
      <c r="L177" s="140"/>
      <c r="M177" s="140"/>
      <c r="N177" s="140"/>
      <c r="O177" s="140"/>
      <c r="P177" s="140"/>
      <c r="Q177" s="388"/>
      <c r="R177" s="388"/>
      <c r="S177" s="388"/>
      <c r="T177" s="388"/>
      <c r="U177" s="388"/>
      <c r="V177" s="388"/>
      <c r="W177" s="388"/>
      <c r="X177" s="388"/>
      <c r="Y177" s="388"/>
      <c r="Z177" s="388"/>
      <c r="AA177" s="388"/>
      <c r="AB177" s="388"/>
      <c r="AC177" s="388"/>
      <c r="AD177" s="388"/>
      <c r="AE177" s="388"/>
      <c r="AF177" s="388"/>
      <c r="AG177" s="388"/>
      <c r="AH177" s="388"/>
      <c r="AI177" s="388"/>
      <c r="AJ177" s="388"/>
      <c r="AK177" s="388"/>
      <c r="AL177" s="388"/>
      <c r="AM177" s="388"/>
      <c r="AN177" s="388"/>
      <c r="AO177" s="388"/>
    </row>
    <row r="178" spans="2:41">
      <c r="B178" s="384"/>
      <c r="C178" s="384"/>
      <c r="D178" s="384"/>
      <c r="E178" s="110"/>
      <c r="F178" s="140"/>
      <c r="G178" s="140"/>
      <c r="H178" s="140"/>
      <c r="I178" s="140"/>
      <c r="J178" s="140"/>
      <c r="K178" s="140"/>
      <c r="L178" s="140"/>
      <c r="M178" s="140"/>
      <c r="N178" s="140"/>
      <c r="O178" s="140"/>
      <c r="P178" s="140"/>
      <c r="Q178" s="388"/>
      <c r="R178" s="388"/>
      <c r="S178" s="388"/>
      <c r="T178" s="388"/>
      <c r="U178" s="388"/>
      <c r="V178" s="388"/>
      <c r="W178" s="388"/>
      <c r="X178" s="388"/>
      <c r="Y178" s="388"/>
      <c r="Z178" s="388"/>
      <c r="AA178" s="388"/>
      <c r="AB178" s="388"/>
      <c r="AC178" s="388"/>
      <c r="AD178" s="388"/>
      <c r="AE178" s="388"/>
      <c r="AF178" s="388"/>
      <c r="AG178" s="388"/>
      <c r="AH178" s="388"/>
      <c r="AI178" s="388"/>
      <c r="AJ178" s="388"/>
      <c r="AK178" s="388"/>
      <c r="AL178" s="388"/>
      <c r="AM178" s="388"/>
      <c r="AN178" s="388"/>
      <c r="AO178" s="388"/>
    </row>
    <row r="179" spans="2:41">
      <c r="B179" s="384"/>
      <c r="C179" s="384"/>
      <c r="D179" s="384"/>
      <c r="E179" s="110"/>
      <c r="F179" s="140"/>
      <c r="G179" s="140"/>
      <c r="H179" s="140"/>
      <c r="I179" s="140"/>
      <c r="J179" s="140"/>
      <c r="K179" s="140"/>
      <c r="L179" s="140"/>
      <c r="M179" s="140"/>
      <c r="N179" s="140"/>
      <c r="O179" s="140"/>
      <c r="P179" s="140"/>
      <c r="Q179" s="388"/>
      <c r="R179" s="388"/>
      <c r="S179" s="388"/>
      <c r="T179" s="388"/>
      <c r="U179" s="388"/>
      <c r="V179" s="388"/>
      <c r="W179" s="388"/>
      <c r="X179" s="388"/>
      <c r="Y179" s="388"/>
      <c r="Z179" s="388"/>
      <c r="AA179" s="388"/>
      <c r="AB179" s="388"/>
      <c r="AC179" s="388"/>
      <c r="AD179" s="388"/>
      <c r="AE179" s="388"/>
      <c r="AF179" s="388"/>
      <c r="AG179" s="388"/>
      <c r="AH179" s="388"/>
      <c r="AI179" s="388"/>
      <c r="AJ179" s="388"/>
      <c r="AK179" s="388"/>
      <c r="AL179" s="388"/>
      <c r="AM179" s="388"/>
      <c r="AN179" s="388"/>
      <c r="AO179" s="388"/>
    </row>
    <row r="180" spans="2:41">
      <c r="B180" s="384"/>
      <c r="C180" s="384"/>
      <c r="D180" s="384"/>
      <c r="E180" s="110"/>
      <c r="F180" s="140"/>
      <c r="G180" s="140"/>
      <c r="H180" s="140"/>
      <c r="I180" s="140"/>
      <c r="J180" s="140"/>
      <c r="K180" s="140"/>
      <c r="L180" s="140"/>
      <c r="M180" s="140"/>
      <c r="N180" s="140"/>
      <c r="O180" s="140"/>
      <c r="P180" s="140"/>
      <c r="Q180" s="388"/>
      <c r="R180" s="388"/>
      <c r="S180" s="388"/>
      <c r="T180" s="388"/>
      <c r="U180" s="388"/>
      <c r="V180" s="388"/>
      <c r="W180" s="388"/>
      <c r="X180" s="388"/>
      <c r="Y180" s="388"/>
      <c r="Z180" s="388"/>
      <c r="AA180" s="388"/>
      <c r="AB180" s="388"/>
      <c r="AC180" s="388"/>
      <c r="AD180" s="388"/>
      <c r="AE180" s="388"/>
      <c r="AF180" s="388"/>
      <c r="AG180" s="388"/>
      <c r="AH180" s="388"/>
      <c r="AI180" s="388"/>
      <c r="AJ180" s="388"/>
      <c r="AK180" s="388"/>
      <c r="AL180" s="388"/>
      <c r="AM180" s="388"/>
      <c r="AN180" s="388"/>
      <c r="AO180" s="388"/>
    </row>
    <row r="181" spans="2:41">
      <c r="B181" s="384"/>
      <c r="C181" s="384"/>
      <c r="D181" s="384"/>
      <c r="E181" s="110"/>
      <c r="F181" s="140"/>
      <c r="G181" s="446"/>
      <c r="H181" s="446"/>
      <c r="I181" s="446"/>
      <c r="J181" s="140"/>
      <c r="K181" s="140"/>
      <c r="L181" s="140"/>
      <c r="M181" s="140"/>
      <c r="N181" s="140"/>
      <c r="O181" s="140"/>
      <c r="P181" s="140"/>
      <c r="Q181" s="388"/>
      <c r="R181" s="388"/>
      <c r="S181" s="388"/>
      <c r="T181" s="388"/>
      <c r="U181" s="388"/>
      <c r="V181" s="388"/>
      <c r="W181" s="388"/>
      <c r="X181" s="388"/>
      <c r="Y181" s="388"/>
      <c r="Z181" s="388"/>
      <c r="AA181" s="388"/>
      <c r="AB181" s="388"/>
      <c r="AC181" s="388"/>
      <c r="AD181" s="388"/>
      <c r="AE181" s="388"/>
      <c r="AF181" s="388"/>
      <c r="AG181" s="388"/>
      <c r="AH181" s="388"/>
      <c r="AI181" s="388"/>
      <c r="AJ181" s="388"/>
      <c r="AK181" s="388"/>
      <c r="AL181" s="388"/>
      <c r="AM181" s="388"/>
      <c r="AN181" s="388"/>
      <c r="AO181" s="388"/>
    </row>
    <row r="182" spans="2:41">
      <c r="B182" s="384"/>
      <c r="C182" s="384"/>
      <c r="D182" s="384"/>
      <c r="E182" s="110"/>
      <c r="F182" s="451"/>
      <c r="G182" s="140"/>
      <c r="H182" s="140"/>
      <c r="I182" s="140"/>
      <c r="J182" s="140"/>
      <c r="K182" s="140"/>
      <c r="L182" s="140"/>
      <c r="M182" s="140"/>
      <c r="N182" s="140"/>
      <c r="O182" s="140"/>
      <c r="P182" s="140"/>
      <c r="Q182" s="388"/>
      <c r="R182" s="388"/>
      <c r="S182" s="388"/>
      <c r="T182" s="388"/>
      <c r="U182" s="388"/>
      <c r="V182" s="388"/>
      <c r="W182" s="388"/>
      <c r="X182" s="388"/>
      <c r="Y182" s="388"/>
      <c r="Z182" s="388"/>
      <c r="AA182" s="388"/>
      <c r="AB182" s="388"/>
      <c r="AC182" s="388"/>
      <c r="AD182" s="388"/>
      <c r="AE182" s="388"/>
      <c r="AF182" s="388"/>
      <c r="AG182" s="388"/>
      <c r="AH182" s="388"/>
      <c r="AI182" s="388"/>
      <c r="AJ182" s="388"/>
      <c r="AK182" s="388"/>
      <c r="AL182" s="388"/>
      <c r="AM182" s="388"/>
      <c r="AN182" s="388"/>
      <c r="AO182" s="388"/>
    </row>
    <row r="183" spans="2:41">
      <c r="B183" s="384"/>
      <c r="C183" s="384"/>
      <c r="D183" s="384"/>
      <c r="E183" s="110"/>
      <c r="F183" s="140"/>
      <c r="G183" s="140"/>
      <c r="H183" s="140"/>
      <c r="I183" s="140"/>
      <c r="J183" s="140"/>
      <c r="K183" s="140"/>
      <c r="L183" s="140"/>
      <c r="M183" s="140"/>
      <c r="N183" s="140"/>
      <c r="O183" s="140"/>
      <c r="P183" s="140"/>
      <c r="Q183" s="388"/>
      <c r="R183" s="388"/>
      <c r="S183" s="388"/>
      <c r="T183" s="388"/>
      <c r="U183" s="388"/>
      <c r="V183" s="388"/>
      <c r="W183" s="388"/>
      <c r="X183" s="388"/>
      <c r="Y183" s="388"/>
      <c r="Z183" s="388"/>
      <c r="AA183" s="388"/>
      <c r="AB183" s="388"/>
      <c r="AC183" s="388"/>
      <c r="AD183" s="388"/>
      <c r="AE183" s="388"/>
      <c r="AF183" s="388"/>
      <c r="AG183" s="388"/>
      <c r="AH183" s="388"/>
      <c r="AI183" s="388"/>
      <c r="AJ183" s="388"/>
      <c r="AK183" s="388"/>
      <c r="AL183" s="388"/>
      <c r="AM183" s="388"/>
      <c r="AN183" s="388"/>
      <c r="AO183" s="388"/>
    </row>
    <row r="184" spans="2:41">
      <c r="B184" s="384"/>
      <c r="C184" s="384"/>
      <c r="D184" s="384"/>
      <c r="E184" s="110"/>
      <c r="F184" s="140"/>
      <c r="G184" s="140"/>
      <c r="H184" s="140"/>
      <c r="I184" s="140"/>
      <c r="J184" s="140"/>
      <c r="K184" s="140"/>
      <c r="L184" s="140"/>
      <c r="M184" s="140"/>
      <c r="N184" s="140"/>
      <c r="O184" s="140"/>
      <c r="P184" s="140"/>
      <c r="Q184" s="388"/>
      <c r="R184" s="388"/>
      <c r="S184" s="388"/>
      <c r="T184" s="388"/>
      <c r="U184" s="388"/>
      <c r="V184" s="388"/>
      <c r="W184" s="388"/>
      <c r="X184" s="388"/>
      <c r="Y184" s="388"/>
      <c r="Z184" s="388"/>
      <c r="AA184" s="388"/>
      <c r="AB184" s="388"/>
      <c r="AC184" s="388"/>
      <c r="AD184" s="388"/>
      <c r="AE184" s="388"/>
      <c r="AF184" s="388"/>
      <c r="AG184" s="388"/>
      <c r="AH184" s="388"/>
      <c r="AI184" s="388"/>
      <c r="AJ184" s="388"/>
      <c r="AK184" s="388"/>
      <c r="AL184" s="388"/>
      <c r="AM184" s="388"/>
      <c r="AN184" s="388"/>
      <c r="AO184" s="388"/>
    </row>
    <row r="185" spans="2:41">
      <c r="B185" s="384"/>
      <c r="C185" s="384"/>
      <c r="D185" s="384"/>
      <c r="E185" s="110"/>
      <c r="F185" s="140"/>
      <c r="G185" s="140"/>
      <c r="H185" s="140"/>
      <c r="I185" s="140"/>
      <c r="J185" s="140"/>
      <c r="K185" s="140"/>
      <c r="L185" s="140"/>
      <c r="M185" s="140"/>
      <c r="N185" s="140"/>
      <c r="O185" s="140"/>
      <c r="P185" s="140"/>
      <c r="Q185" s="388"/>
      <c r="R185" s="388"/>
      <c r="S185" s="388"/>
      <c r="T185" s="388"/>
      <c r="U185" s="388"/>
      <c r="V185" s="388"/>
      <c r="W185" s="388"/>
      <c r="X185" s="388"/>
      <c r="Y185" s="388"/>
      <c r="Z185" s="388"/>
      <c r="AA185" s="388"/>
      <c r="AB185" s="388"/>
      <c r="AC185" s="388"/>
      <c r="AD185" s="388"/>
      <c r="AE185" s="388"/>
      <c r="AF185" s="388"/>
      <c r="AG185" s="388"/>
      <c r="AH185" s="388"/>
      <c r="AI185" s="388"/>
      <c r="AJ185" s="388"/>
      <c r="AK185" s="388"/>
      <c r="AL185" s="388"/>
      <c r="AM185" s="388"/>
      <c r="AN185" s="388"/>
      <c r="AO185" s="388"/>
    </row>
    <row r="186" spans="2:41">
      <c r="B186" s="384"/>
      <c r="C186" s="384"/>
      <c r="D186" s="384"/>
      <c r="E186" s="110"/>
      <c r="F186" s="140"/>
      <c r="G186" s="140"/>
      <c r="H186" s="140"/>
      <c r="I186" s="140"/>
      <c r="J186" s="140"/>
      <c r="K186" s="140"/>
      <c r="L186" s="140"/>
      <c r="M186" s="140"/>
      <c r="N186" s="140"/>
      <c r="O186" s="140"/>
      <c r="P186" s="140"/>
      <c r="Q186" s="388"/>
      <c r="R186" s="388"/>
      <c r="S186" s="388"/>
      <c r="T186" s="388"/>
      <c r="U186" s="388"/>
      <c r="V186" s="388"/>
      <c r="W186" s="388"/>
      <c r="X186" s="388"/>
      <c r="Y186" s="388"/>
      <c r="Z186" s="388"/>
      <c r="AA186" s="388"/>
      <c r="AB186" s="388"/>
      <c r="AC186" s="388"/>
      <c r="AD186" s="388"/>
      <c r="AE186" s="388"/>
      <c r="AF186" s="388"/>
      <c r="AG186" s="388"/>
      <c r="AH186" s="388"/>
      <c r="AI186" s="388"/>
      <c r="AJ186" s="388"/>
      <c r="AK186" s="388"/>
      <c r="AL186" s="388"/>
      <c r="AM186" s="388"/>
      <c r="AN186" s="388"/>
      <c r="AO186" s="388"/>
    </row>
    <row r="187" spans="2:41">
      <c r="B187" s="384"/>
      <c r="C187" s="384"/>
      <c r="D187" s="384"/>
      <c r="E187" s="110"/>
      <c r="F187" s="140"/>
      <c r="G187" s="140"/>
      <c r="H187" s="140"/>
      <c r="I187" s="140"/>
      <c r="J187" s="140"/>
      <c r="K187" s="140"/>
      <c r="L187" s="140"/>
      <c r="M187" s="140"/>
      <c r="N187" s="140"/>
      <c r="O187" s="140"/>
      <c r="P187" s="140"/>
      <c r="Q187" s="388"/>
      <c r="R187" s="388"/>
      <c r="S187" s="388"/>
      <c r="T187" s="388"/>
      <c r="U187" s="388"/>
      <c r="V187" s="388"/>
      <c r="W187" s="388"/>
      <c r="X187" s="388"/>
      <c r="Y187" s="388"/>
      <c r="Z187" s="388"/>
      <c r="AA187" s="388"/>
      <c r="AB187" s="388"/>
      <c r="AC187" s="388"/>
      <c r="AD187" s="388"/>
      <c r="AE187" s="388"/>
      <c r="AF187" s="388"/>
      <c r="AG187" s="388"/>
      <c r="AH187" s="388"/>
      <c r="AI187" s="388"/>
      <c r="AJ187" s="388"/>
      <c r="AK187" s="388"/>
      <c r="AL187" s="388"/>
      <c r="AM187" s="388"/>
      <c r="AN187" s="388"/>
      <c r="AO187" s="388"/>
    </row>
    <row r="188" spans="2:41">
      <c r="B188" s="384"/>
      <c r="C188" s="384"/>
      <c r="D188" s="384"/>
      <c r="E188" s="110"/>
      <c r="F188" s="140"/>
      <c r="G188" s="140"/>
      <c r="H188" s="140"/>
      <c r="I188" s="140"/>
      <c r="J188" s="140"/>
      <c r="K188" s="140"/>
      <c r="L188" s="140"/>
      <c r="M188" s="140"/>
      <c r="N188" s="140"/>
      <c r="O188" s="140"/>
      <c r="P188" s="140"/>
      <c r="Q188" s="388"/>
      <c r="R188" s="388"/>
      <c r="S188" s="388"/>
      <c r="T188" s="388"/>
      <c r="U188" s="388"/>
      <c r="V188" s="388"/>
      <c r="W188" s="388"/>
      <c r="X188" s="388"/>
      <c r="Y188" s="388"/>
      <c r="Z188" s="388"/>
      <c r="AA188" s="388"/>
      <c r="AB188" s="388"/>
      <c r="AC188" s="388"/>
      <c r="AD188" s="388"/>
      <c r="AE188" s="388"/>
      <c r="AF188" s="388"/>
      <c r="AG188" s="388"/>
      <c r="AH188" s="388"/>
      <c r="AI188" s="388"/>
      <c r="AJ188" s="388"/>
      <c r="AK188" s="388"/>
      <c r="AL188" s="388"/>
      <c r="AM188" s="388"/>
      <c r="AN188" s="388"/>
      <c r="AO188" s="388"/>
    </row>
    <row r="189" spans="2:41">
      <c r="B189" s="384"/>
      <c r="C189" s="384"/>
      <c r="D189" s="384"/>
      <c r="E189" s="110"/>
      <c r="F189" s="140"/>
      <c r="G189" s="140"/>
      <c r="H189" s="140"/>
      <c r="I189" s="140"/>
      <c r="J189" s="140"/>
      <c r="K189" s="140"/>
      <c r="L189" s="140"/>
      <c r="M189" s="140"/>
      <c r="N189" s="140"/>
      <c r="O189" s="140"/>
      <c r="P189" s="140"/>
      <c r="Q189" s="388"/>
      <c r="R189" s="388"/>
      <c r="S189" s="388"/>
      <c r="T189" s="388"/>
      <c r="U189" s="388"/>
      <c r="V189" s="388"/>
      <c r="W189" s="388"/>
      <c r="X189" s="388"/>
      <c r="Y189" s="388"/>
      <c r="Z189" s="388"/>
      <c r="AA189" s="388"/>
      <c r="AB189" s="388"/>
      <c r="AC189" s="388"/>
      <c r="AD189" s="388"/>
      <c r="AE189" s="388"/>
      <c r="AF189" s="388"/>
      <c r="AG189" s="388"/>
      <c r="AH189" s="388"/>
      <c r="AI189" s="388"/>
      <c r="AJ189" s="388"/>
      <c r="AK189" s="388"/>
      <c r="AL189" s="388"/>
      <c r="AM189" s="388"/>
      <c r="AN189" s="388"/>
      <c r="AO189" s="388"/>
    </row>
    <row r="190" spans="2:41">
      <c r="B190" s="384"/>
      <c r="C190" s="384"/>
      <c r="D190" s="384"/>
      <c r="E190" s="110"/>
      <c r="F190" s="140"/>
      <c r="G190" s="140"/>
      <c r="H190" s="140"/>
      <c r="I190" s="140"/>
      <c r="J190" s="140"/>
      <c r="K190" s="140"/>
      <c r="L190" s="140"/>
      <c r="M190" s="140"/>
      <c r="N190" s="140"/>
      <c r="O190" s="140"/>
      <c r="P190" s="140"/>
      <c r="Q190" s="388"/>
      <c r="R190" s="388"/>
      <c r="S190" s="388"/>
      <c r="T190" s="388"/>
      <c r="U190" s="388"/>
      <c r="V190" s="388"/>
      <c r="W190" s="388"/>
      <c r="X190" s="388"/>
      <c r="Y190" s="388"/>
      <c r="Z190" s="388"/>
      <c r="AA190" s="388"/>
      <c r="AB190" s="388"/>
      <c r="AC190" s="388"/>
      <c r="AD190" s="388"/>
      <c r="AE190" s="388"/>
      <c r="AF190" s="388"/>
      <c r="AG190" s="388"/>
      <c r="AH190" s="388"/>
      <c r="AI190" s="388"/>
      <c r="AJ190" s="388"/>
      <c r="AK190" s="388"/>
      <c r="AL190" s="388"/>
      <c r="AM190" s="388"/>
      <c r="AN190" s="388"/>
      <c r="AO190" s="388"/>
    </row>
    <row r="191" spans="2:41">
      <c r="B191" s="384"/>
      <c r="C191" s="384"/>
      <c r="D191" s="384"/>
      <c r="E191" s="110"/>
      <c r="F191" s="140"/>
      <c r="G191" s="140"/>
      <c r="H191" s="140"/>
      <c r="I191" s="140"/>
      <c r="J191" s="140"/>
      <c r="K191" s="140"/>
      <c r="L191" s="140"/>
      <c r="M191" s="140"/>
      <c r="N191" s="140"/>
      <c r="O191" s="140"/>
      <c r="P191" s="140"/>
      <c r="Q191" s="388"/>
      <c r="R191" s="388"/>
      <c r="S191" s="388"/>
      <c r="T191" s="388"/>
      <c r="U191" s="388"/>
      <c r="V191" s="388"/>
      <c r="W191" s="388"/>
      <c r="X191" s="388"/>
      <c r="Y191" s="388"/>
      <c r="Z191" s="388"/>
      <c r="AA191" s="388"/>
      <c r="AB191" s="388"/>
      <c r="AC191" s="388"/>
      <c r="AD191" s="388"/>
      <c r="AE191" s="388"/>
      <c r="AF191" s="388"/>
      <c r="AG191" s="388"/>
      <c r="AH191" s="388"/>
      <c r="AI191" s="388"/>
      <c r="AJ191" s="388"/>
      <c r="AK191" s="388"/>
      <c r="AL191" s="388"/>
      <c r="AM191" s="388"/>
      <c r="AN191" s="388"/>
      <c r="AO191" s="388"/>
    </row>
    <row r="192" spans="2:41">
      <c r="B192" s="384"/>
      <c r="C192" s="384"/>
      <c r="D192" s="384"/>
      <c r="E192" s="110"/>
      <c r="F192" s="140"/>
      <c r="G192" s="140"/>
      <c r="H192" s="140"/>
      <c r="I192" s="140"/>
      <c r="J192" s="140"/>
      <c r="K192" s="140"/>
      <c r="L192" s="140"/>
      <c r="M192" s="140"/>
      <c r="N192" s="140"/>
      <c r="O192" s="140"/>
      <c r="P192" s="140"/>
      <c r="Q192" s="388"/>
      <c r="R192" s="388"/>
      <c r="S192" s="388"/>
      <c r="T192" s="388"/>
      <c r="U192" s="388"/>
      <c r="V192" s="388"/>
      <c r="W192" s="388"/>
      <c r="X192" s="388"/>
      <c r="Y192" s="388"/>
      <c r="Z192" s="388"/>
      <c r="AA192" s="388"/>
      <c r="AB192" s="388"/>
      <c r="AC192" s="388"/>
      <c r="AD192" s="388"/>
      <c r="AE192" s="388"/>
      <c r="AF192" s="388"/>
      <c r="AG192" s="388"/>
      <c r="AH192" s="388"/>
      <c r="AI192" s="388"/>
      <c r="AJ192" s="388"/>
      <c r="AK192" s="388"/>
      <c r="AL192" s="388"/>
      <c r="AM192" s="388"/>
      <c r="AN192" s="388"/>
      <c r="AO192" s="388"/>
    </row>
    <row r="193" spans="2:41">
      <c r="B193" s="384"/>
      <c r="C193" s="384"/>
      <c r="D193" s="384"/>
      <c r="E193" s="110"/>
      <c r="F193" s="140"/>
      <c r="G193" s="140"/>
      <c r="H193" s="140"/>
      <c r="I193" s="140"/>
      <c r="J193" s="140"/>
      <c r="K193" s="140"/>
      <c r="L193" s="140"/>
      <c r="M193" s="140"/>
      <c r="N193" s="140"/>
      <c r="O193" s="140"/>
      <c r="P193" s="140"/>
      <c r="Q193" s="388"/>
      <c r="R193" s="388"/>
      <c r="S193" s="388"/>
      <c r="T193" s="388"/>
      <c r="U193" s="388"/>
      <c r="V193" s="388"/>
      <c r="W193" s="388"/>
      <c r="X193" s="388"/>
      <c r="Y193" s="388"/>
      <c r="Z193" s="388"/>
      <c r="AA193" s="388"/>
      <c r="AB193" s="388"/>
      <c r="AC193" s="388"/>
      <c r="AD193" s="388"/>
      <c r="AE193" s="388"/>
      <c r="AF193" s="388"/>
      <c r="AG193" s="388"/>
      <c r="AH193" s="388"/>
      <c r="AI193" s="388"/>
      <c r="AJ193" s="388"/>
      <c r="AK193" s="388"/>
      <c r="AL193" s="388"/>
      <c r="AM193" s="388"/>
      <c r="AN193" s="388"/>
      <c r="AO193" s="388"/>
    </row>
    <row r="194" spans="2:41">
      <c r="B194" s="384"/>
      <c r="C194" s="384"/>
      <c r="D194" s="384"/>
      <c r="E194" s="110"/>
      <c r="F194" s="140"/>
      <c r="G194" s="140"/>
      <c r="H194" s="140"/>
      <c r="I194" s="140"/>
      <c r="J194" s="140"/>
      <c r="K194" s="140"/>
      <c r="L194" s="140"/>
      <c r="M194" s="140"/>
      <c r="N194" s="140"/>
      <c r="O194" s="140"/>
      <c r="P194" s="140"/>
      <c r="Q194" s="388"/>
      <c r="R194" s="388"/>
      <c r="S194" s="388"/>
      <c r="T194" s="388"/>
      <c r="U194" s="388"/>
      <c r="V194" s="388"/>
      <c r="W194" s="388"/>
      <c r="X194" s="388"/>
      <c r="Y194" s="388"/>
      <c r="Z194" s="388"/>
      <c r="AA194" s="388"/>
      <c r="AB194" s="388"/>
      <c r="AC194" s="388"/>
      <c r="AD194" s="388"/>
      <c r="AE194" s="388"/>
      <c r="AF194" s="388"/>
      <c r="AG194" s="388"/>
      <c r="AH194" s="388"/>
      <c r="AI194" s="388"/>
      <c r="AJ194" s="388"/>
      <c r="AK194" s="388"/>
      <c r="AL194" s="388"/>
      <c r="AM194" s="388"/>
      <c r="AN194" s="388"/>
      <c r="AO194" s="388"/>
    </row>
    <row r="195" spans="2:41">
      <c r="B195" s="384"/>
      <c r="C195" s="384"/>
      <c r="D195" s="384"/>
      <c r="E195" s="110"/>
      <c r="F195" s="140"/>
      <c r="G195" s="140"/>
      <c r="H195" s="140"/>
      <c r="I195" s="140"/>
      <c r="J195" s="140"/>
      <c r="K195" s="140"/>
      <c r="L195" s="140"/>
      <c r="M195" s="140"/>
      <c r="N195" s="140"/>
      <c r="O195" s="140"/>
      <c r="P195" s="140"/>
      <c r="Q195" s="388"/>
      <c r="R195" s="388"/>
      <c r="S195" s="388"/>
      <c r="T195" s="388"/>
      <c r="U195" s="388"/>
      <c r="V195" s="388"/>
      <c r="W195" s="388"/>
      <c r="X195" s="388"/>
      <c r="Y195" s="388"/>
      <c r="Z195" s="388"/>
      <c r="AA195" s="388"/>
      <c r="AB195" s="388"/>
      <c r="AC195" s="388"/>
      <c r="AD195" s="388"/>
      <c r="AE195" s="388"/>
      <c r="AF195" s="388"/>
      <c r="AG195" s="388"/>
      <c r="AH195" s="388"/>
      <c r="AI195" s="388"/>
      <c r="AJ195" s="388"/>
      <c r="AK195" s="388"/>
      <c r="AL195" s="388"/>
      <c r="AM195" s="388"/>
      <c r="AN195" s="388"/>
      <c r="AO195" s="388"/>
    </row>
    <row r="196" spans="2:41">
      <c r="B196" s="384"/>
      <c r="C196" s="384"/>
      <c r="D196" s="384"/>
      <c r="E196" s="110"/>
      <c r="F196" s="140"/>
      <c r="G196" s="140"/>
      <c r="H196" s="140"/>
      <c r="I196" s="140"/>
      <c r="J196" s="140"/>
      <c r="K196" s="140"/>
      <c r="L196" s="140"/>
      <c r="M196" s="140"/>
      <c r="N196" s="140"/>
      <c r="O196" s="140"/>
      <c r="P196" s="140"/>
      <c r="Q196" s="388"/>
      <c r="R196" s="388"/>
      <c r="S196" s="388"/>
      <c r="T196" s="388"/>
      <c r="U196" s="388"/>
      <c r="V196" s="388"/>
      <c r="W196" s="388"/>
      <c r="X196" s="388"/>
      <c r="Y196" s="388"/>
      <c r="Z196" s="388"/>
      <c r="AA196" s="388"/>
      <c r="AB196" s="388"/>
      <c r="AC196" s="388"/>
      <c r="AD196" s="388"/>
      <c r="AE196" s="388"/>
      <c r="AF196" s="388"/>
      <c r="AG196" s="388"/>
      <c r="AH196" s="388"/>
      <c r="AI196" s="388"/>
      <c r="AJ196" s="388"/>
      <c r="AK196" s="388"/>
      <c r="AL196" s="388"/>
      <c r="AM196" s="388"/>
      <c r="AN196" s="388"/>
      <c r="AO196" s="388"/>
    </row>
    <row r="197" spans="2:41">
      <c r="B197" s="384"/>
      <c r="C197" s="391"/>
      <c r="D197" s="384"/>
      <c r="E197" s="110"/>
      <c r="F197" s="140"/>
      <c r="G197" s="140"/>
      <c r="H197" s="140"/>
      <c r="I197" s="140"/>
      <c r="J197" s="140"/>
      <c r="K197" s="140"/>
      <c r="L197" s="140"/>
      <c r="M197" s="140"/>
      <c r="N197" s="140"/>
      <c r="O197" s="140"/>
      <c r="P197" s="140"/>
      <c r="Q197" s="388"/>
      <c r="R197" s="388"/>
      <c r="S197" s="388"/>
      <c r="T197" s="388"/>
      <c r="U197" s="388"/>
      <c r="V197" s="388"/>
      <c r="W197" s="388"/>
      <c r="X197" s="388"/>
      <c r="Y197" s="388"/>
      <c r="Z197" s="388"/>
      <c r="AA197" s="388"/>
      <c r="AB197" s="388"/>
      <c r="AC197" s="388"/>
      <c r="AD197" s="388"/>
      <c r="AE197" s="388"/>
      <c r="AF197" s="388"/>
      <c r="AG197" s="388"/>
      <c r="AH197" s="388"/>
      <c r="AI197" s="388"/>
      <c r="AJ197" s="388"/>
      <c r="AK197" s="388"/>
      <c r="AL197" s="388"/>
      <c r="AM197" s="388"/>
      <c r="AN197" s="388"/>
      <c r="AO197" s="388"/>
    </row>
    <row r="198" spans="2:41">
      <c r="B198" s="384"/>
      <c r="C198" s="391"/>
      <c r="D198" s="384"/>
      <c r="E198" s="110"/>
      <c r="F198" s="140"/>
      <c r="G198" s="140"/>
      <c r="H198" s="140"/>
      <c r="I198" s="140"/>
      <c r="J198" s="140"/>
      <c r="K198" s="140"/>
      <c r="L198" s="140"/>
      <c r="M198" s="140"/>
      <c r="N198" s="140"/>
      <c r="O198" s="140"/>
      <c r="P198" s="140"/>
      <c r="Q198" s="388"/>
      <c r="R198" s="388"/>
      <c r="S198" s="388"/>
      <c r="T198" s="388"/>
      <c r="U198" s="388"/>
      <c r="V198" s="388"/>
      <c r="W198" s="388"/>
      <c r="X198" s="388"/>
      <c r="Y198" s="388"/>
      <c r="Z198" s="388"/>
      <c r="AA198" s="388"/>
      <c r="AB198" s="388"/>
      <c r="AC198" s="388"/>
      <c r="AD198" s="388"/>
      <c r="AE198" s="388"/>
      <c r="AF198" s="388"/>
      <c r="AG198" s="388"/>
      <c r="AH198" s="388"/>
      <c r="AI198" s="388"/>
      <c r="AJ198" s="388"/>
      <c r="AK198" s="388"/>
      <c r="AL198" s="388"/>
      <c r="AM198" s="388"/>
      <c r="AN198" s="388"/>
      <c r="AO198" s="388"/>
    </row>
    <row r="199" spans="2:41">
      <c r="B199" s="384"/>
      <c r="C199" s="391"/>
      <c r="D199" s="384"/>
      <c r="E199" s="110"/>
      <c r="F199" s="140"/>
      <c r="G199" s="140"/>
      <c r="H199" s="140"/>
      <c r="I199" s="140"/>
      <c r="J199" s="140"/>
      <c r="K199" s="140"/>
      <c r="L199" s="140"/>
      <c r="M199" s="140"/>
      <c r="N199" s="140"/>
      <c r="O199" s="140"/>
      <c r="P199" s="140"/>
      <c r="Q199" s="388"/>
      <c r="R199" s="388"/>
      <c r="S199" s="388"/>
      <c r="T199" s="388"/>
      <c r="U199" s="388"/>
      <c r="V199" s="388"/>
      <c r="W199" s="388"/>
      <c r="X199" s="388"/>
      <c r="Y199" s="388"/>
      <c r="Z199" s="388"/>
      <c r="AA199" s="388"/>
      <c r="AB199" s="388"/>
      <c r="AC199" s="388"/>
      <c r="AD199" s="388"/>
      <c r="AE199" s="388"/>
      <c r="AF199" s="388"/>
      <c r="AG199" s="388"/>
      <c r="AH199" s="388"/>
      <c r="AI199" s="388"/>
      <c r="AJ199" s="388"/>
      <c r="AK199" s="388"/>
      <c r="AL199" s="388"/>
      <c r="AM199" s="388"/>
      <c r="AN199" s="388"/>
      <c r="AO199" s="388"/>
    </row>
    <row r="200" spans="2:41">
      <c r="B200" s="384"/>
      <c r="C200" s="391"/>
      <c r="D200" s="384"/>
      <c r="E200" s="110"/>
      <c r="F200" s="140"/>
      <c r="G200" s="446"/>
      <c r="H200" s="446"/>
      <c r="I200" s="446"/>
      <c r="J200" s="446"/>
      <c r="K200" s="446"/>
      <c r="L200" s="140"/>
      <c r="M200" s="140"/>
      <c r="N200" s="140"/>
      <c r="O200" s="140"/>
      <c r="P200" s="140"/>
    </row>
    <row r="201" spans="2:41">
      <c r="B201" s="384"/>
      <c r="C201" s="391"/>
      <c r="D201" s="384"/>
      <c r="E201" s="110"/>
      <c r="F201" s="140"/>
      <c r="G201" s="140"/>
      <c r="H201" s="140"/>
      <c r="I201" s="140"/>
      <c r="J201" s="140"/>
      <c r="K201" s="140"/>
      <c r="L201" s="140"/>
      <c r="M201" s="140"/>
      <c r="N201" s="140"/>
      <c r="O201" s="140"/>
      <c r="P201" s="140"/>
    </row>
    <row r="202" spans="2:41">
      <c r="B202" s="384"/>
      <c r="C202" s="384"/>
      <c r="D202" s="384"/>
      <c r="E202" s="110"/>
      <c r="F202" s="140"/>
      <c r="G202" s="140"/>
      <c r="H202" s="140"/>
      <c r="I202" s="140"/>
      <c r="J202" s="140"/>
      <c r="K202" s="140"/>
      <c r="L202" s="140"/>
      <c r="M202" s="140"/>
      <c r="N202" s="140"/>
      <c r="O202" s="140"/>
      <c r="P202" s="140"/>
    </row>
    <row r="203" spans="2:41">
      <c r="B203" s="384"/>
      <c r="C203" s="384"/>
      <c r="D203" s="384"/>
      <c r="E203" s="110"/>
      <c r="F203" s="140"/>
      <c r="G203" s="140"/>
      <c r="H203" s="140"/>
      <c r="I203" s="140"/>
      <c r="J203" s="140"/>
      <c r="K203" s="140"/>
      <c r="L203" s="140"/>
      <c r="M203" s="140"/>
      <c r="N203" s="140"/>
      <c r="O203" s="140"/>
      <c r="P203" s="140"/>
    </row>
    <row r="204" spans="2:41">
      <c r="B204" s="384"/>
      <c r="C204" s="384"/>
      <c r="D204" s="384"/>
      <c r="E204" s="110"/>
      <c r="F204" s="140"/>
      <c r="G204" s="140"/>
      <c r="H204" s="140"/>
      <c r="I204" s="140"/>
      <c r="J204" s="140"/>
      <c r="K204" s="140"/>
      <c r="L204" s="140"/>
      <c r="M204" s="140"/>
      <c r="N204" s="140"/>
      <c r="O204" s="140"/>
      <c r="P204" s="140"/>
    </row>
    <row r="205" spans="2:41">
      <c r="B205" s="384"/>
      <c r="C205" s="384"/>
      <c r="D205" s="384"/>
      <c r="E205" s="110"/>
      <c r="F205" s="140"/>
      <c r="G205" s="140"/>
      <c r="H205" s="140"/>
      <c r="I205" s="140"/>
      <c r="J205" s="140"/>
      <c r="K205" s="140"/>
      <c r="L205" s="140"/>
      <c r="M205" s="140"/>
      <c r="N205" s="140"/>
      <c r="O205" s="140"/>
      <c r="P205" s="140"/>
    </row>
    <row r="206" spans="2:41">
      <c r="B206" s="384"/>
      <c r="C206" s="384"/>
      <c r="D206" s="384"/>
      <c r="E206" s="110"/>
      <c r="F206" s="140"/>
      <c r="G206" s="140"/>
      <c r="H206" s="140"/>
      <c r="I206" s="140"/>
      <c r="J206" s="140"/>
      <c r="K206" s="140"/>
      <c r="L206" s="140"/>
      <c r="M206" s="140"/>
      <c r="N206" s="140"/>
      <c r="O206" s="140"/>
      <c r="P206" s="140"/>
    </row>
    <row r="207" spans="2:41">
      <c r="B207" s="384"/>
      <c r="C207" s="384"/>
      <c r="D207" s="384"/>
      <c r="E207" s="110"/>
      <c r="F207" s="140"/>
      <c r="G207" s="140"/>
      <c r="H207" s="140"/>
      <c r="I207" s="140"/>
      <c r="J207" s="140"/>
      <c r="K207" s="140"/>
      <c r="L207" s="140"/>
      <c r="M207" s="140"/>
      <c r="N207" s="140"/>
      <c r="O207" s="140"/>
      <c r="P207" s="140"/>
    </row>
    <row r="208" spans="2:41">
      <c r="B208" s="384"/>
      <c r="C208" s="384"/>
      <c r="D208" s="384"/>
      <c r="E208" s="110"/>
      <c r="F208" s="140"/>
      <c r="G208" s="140"/>
      <c r="H208" s="140"/>
      <c r="I208" s="140"/>
      <c r="J208" s="140"/>
      <c r="K208" s="140"/>
      <c r="L208" s="140"/>
      <c r="M208" s="140"/>
      <c r="N208" s="140"/>
      <c r="O208" s="140"/>
      <c r="P208" s="140"/>
    </row>
    <row r="209" spans="2:16">
      <c r="B209" s="384"/>
      <c r="C209" s="384"/>
      <c r="D209" s="384"/>
      <c r="E209" s="110"/>
      <c r="F209" s="140"/>
      <c r="G209" s="446"/>
      <c r="H209" s="446"/>
      <c r="I209" s="446"/>
      <c r="J209" s="140"/>
      <c r="K209" s="140"/>
      <c r="L209" s="140"/>
      <c r="M209" s="140"/>
      <c r="N209" s="140"/>
      <c r="O209" s="140"/>
      <c r="P209" s="140"/>
    </row>
    <row r="210" spans="2:16">
      <c r="B210" s="384"/>
      <c r="C210" s="384"/>
      <c r="D210" s="384"/>
      <c r="E210" s="110"/>
      <c r="F210" s="140"/>
      <c r="G210" s="446"/>
      <c r="H210" s="446"/>
      <c r="I210" s="446"/>
      <c r="J210" s="140"/>
      <c r="K210" s="140"/>
      <c r="L210" s="140"/>
      <c r="M210" s="140"/>
      <c r="N210" s="140"/>
      <c r="O210" s="140"/>
      <c r="P210" s="140"/>
    </row>
    <row r="211" spans="2:16">
      <c r="B211" s="384"/>
      <c r="C211" s="384"/>
      <c r="D211" s="384"/>
      <c r="E211" s="110"/>
      <c r="F211" s="140"/>
      <c r="G211" s="446"/>
      <c r="H211" s="446"/>
      <c r="I211" s="446"/>
      <c r="J211" s="140"/>
      <c r="K211" s="140"/>
      <c r="L211" s="140"/>
      <c r="M211" s="140"/>
      <c r="N211" s="140"/>
      <c r="O211" s="140"/>
      <c r="P211" s="140"/>
    </row>
    <row r="212" spans="2:16">
      <c r="B212" s="384"/>
      <c r="C212" s="384"/>
      <c r="D212" s="384"/>
      <c r="E212" s="167"/>
      <c r="F212" s="140"/>
      <c r="G212" s="446"/>
      <c r="H212" s="446"/>
      <c r="I212" s="446"/>
      <c r="J212" s="140"/>
      <c r="K212" s="140"/>
      <c r="L212" s="140"/>
      <c r="M212" s="140"/>
      <c r="N212" s="140"/>
      <c r="O212" s="140"/>
      <c r="P212" s="140"/>
    </row>
    <row r="213" spans="2:16">
      <c r="B213" s="384"/>
      <c r="C213" s="384"/>
      <c r="D213" s="384"/>
      <c r="E213" s="111"/>
      <c r="F213" s="140"/>
      <c r="G213" s="140"/>
      <c r="H213" s="140"/>
      <c r="I213" s="140"/>
      <c r="J213" s="140"/>
      <c r="K213" s="140"/>
      <c r="L213" s="140"/>
      <c r="M213" s="140"/>
      <c r="N213" s="140"/>
      <c r="O213" s="140"/>
      <c r="P213" s="140"/>
    </row>
    <row r="214" spans="2:16">
      <c r="B214" s="384"/>
      <c r="C214" s="384"/>
      <c r="D214" s="384"/>
      <c r="E214" s="111"/>
      <c r="F214" s="140"/>
      <c r="G214" s="140"/>
      <c r="H214" s="140"/>
      <c r="I214" s="140"/>
      <c r="J214" s="140"/>
      <c r="K214" s="140"/>
      <c r="L214" s="140"/>
      <c r="M214" s="140"/>
      <c r="N214" s="140"/>
      <c r="O214" s="140"/>
      <c r="P214" s="140"/>
    </row>
    <row r="215" spans="2:16">
      <c r="B215" s="384"/>
      <c r="C215" s="384"/>
      <c r="D215" s="384"/>
      <c r="E215" s="111"/>
      <c r="F215" s="140"/>
      <c r="G215" s="446"/>
      <c r="H215" s="446"/>
      <c r="I215" s="446"/>
      <c r="J215" s="140"/>
      <c r="K215" s="140"/>
      <c r="L215" s="140"/>
      <c r="M215" s="140"/>
      <c r="N215" s="140"/>
      <c r="O215" s="140"/>
      <c r="P215" s="140"/>
    </row>
    <row r="216" spans="2:16">
      <c r="B216" s="384"/>
      <c r="C216" s="384"/>
      <c r="D216" s="384"/>
      <c r="E216" s="111"/>
      <c r="F216" s="140"/>
      <c r="G216" s="446"/>
      <c r="H216" s="446"/>
      <c r="I216" s="446"/>
      <c r="J216" s="140"/>
      <c r="K216" s="140"/>
      <c r="L216" s="140"/>
      <c r="M216" s="140"/>
      <c r="N216" s="140"/>
      <c r="O216" s="140"/>
      <c r="P216" s="140"/>
    </row>
    <row r="217" spans="2:16">
      <c r="B217" s="384"/>
      <c r="C217" s="384"/>
      <c r="D217" s="384"/>
      <c r="E217" s="111"/>
      <c r="F217" s="140"/>
      <c r="G217" s="446"/>
      <c r="H217" s="446"/>
      <c r="I217" s="446"/>
      <c r="J217" s="140"/>
      <c r="K217" s="140"/>
      <c r="L217" s="140"/>
      <c r="M217" s="140"/>
      <c r="N217" s="140"/>
      <c r="O217" s="140"/>
      <c r="P217" s="140"/>
    </row>
    <row r="218" spans="2:16">
      <c r="B218" s="384"/>
      <c r="C218" s="384"/>
      <c r="D218" s="384"/>
      <c r="E218" s="168"/>
      <c r="F218" s="140"/>
      <c r="G218" s="391"/>
      <c r="H218" s="391"/>
      <c r="I218" s="140"/>
      <c r="J218" s="140"/>
      <c r="K218" s="140"/>
      <c r="L218" s="140"/>
      <c r="M218" s="140"/>
      <c r="N218" s="140"/>
      <c r="O218" s="140"/>
      <c r="P218" s="140"/>
    </row>
    <row r="219" spans="2:16">
      <c r="B219" s="384"/>
      <c r="C219" s="384"/>
      <c r="D219" s="384"/>
      <c r="E219" s="111"/>
      <c r="F219" s="140"/>
      <c r="G219" s="391"/>
      <c r="H219" s="391"/>
      <c r="I219" s="443"/>
      <c r="J219" s="443"/>
      <c r="K219" s="140"/>
      <c r="L219" s="140"/>
      <c r="M219" s="140"/>
      <c r="N219" s="140"/>
      <c r="O219" s="140"/>
      <c r="P219" s="140"/>
    </row>
    <row r="220" spans="2:16">
      <c r="B220" s="384"/>
      <c r="C220" s="384"/>
      <c r="D220" s="384"/>
      <c r="E220" s="111"/>
      <c r="F220" s="140"/>
      <c r="G220" s="391"/>
      <c r="H220" s="391"/>
      <c r="I220" s="446"/>
      <c r="J220" s="140"/>
      <c r="K220" s="140"/>
      <c r="L220" s="140"/>
      <c r="M220" s="140"/>
      <c r="N220" s="140"/>
      <c r="O220" s="140"/>
      <c r="P220" s="140"/>
    </row>
    <row r="221" spans="2:16">
      <c r="B221" s="384"/>
      <c r="C221" s="384"/>
      <c r="D221" s="384"/>
      <c r="E221" s="111"/>
      <c r="F221" s="140"/>
      <c r="G221" s="391"/>
      <c r="H221" s="391"/>
      <c r="I221" s="448"/>
      <c r="J221" s="140"/>
      <c r="K221" s="140"/>
      <c r="L221" s="140"/>
      <c r="M221" s="140"/>
      <c r="N221" s="140"/>
      <c r="O221" s="140"/>
      <c r="P221" s="140"/>
    </row>
    <row r="222" spans="2:16">
      <c r="B222" s="384"/>
      <c r="C222" s="384"/>
      <c r="D222" s="384"/>
      <c r="E222" s="111"/>
      <c r="F222" s="140"/>
      <c r="G222" s="391"/>
      <c r="H222" s="391"/>
      <c r="I222" s="446"/>
      <c r="J222" s="446"/>
      <c r="K222" s="140"/>
      <c r="L222" s="140"/>
      <c r="M222" s="140"/>
      <c r="N222" s="140"/>
      <c r="O222" s="140"/>
      <c r="P222" s="140"/>
    </row>
    <row r="223" spans="2:16">
      <c r="B223" s="384"/>
      <c r="C223" s="384"/>
      <c r="D223" s="384"/>
      <c r="E223" s="111"/>
      <c r="F223" s="391"/>
      <c r="G223" s="391"/>
      <c r="H223" s="391"/>
      <c r="I223" s="391"/>
      <c r="J223" s="391"/>
      <c r="K223" s="391"/>
      <c r="L223" s="391"/>
      <c r="M223" s="391"/>
      <c r="N223" s="391"/>
      <c r="O223" s="391"/>
      <c r="P223" s="391"/>
    </row>
    <row r="224" spans="2:16">
      <c r="B224" s="384"/>
      <c r="C224" s="384"/>
      <c r="D224" s="384"/>
      <c r="E224" s="111"/>
      <c r="F224" s="445"/>
      <c r="G224" s="391"/>
      <c r="H224" s="391"/>
      <c r="I224" s="140"/>
      <c r="J224" s="445"/>
      <c r="K224" s="445"/>
      <c r="L224" s="445"/>
      <c r="M224" s="445"/>
      <c r="N224" s="445"/>
      <c r="O224" s="140"/>
      <c r="P224" s="140"/>
    </row>
    <row r="225" spans="2:16">
      <c r="B225" s="384"/>
      <c r="C225" s="384"/>
      <c r="D225" s="384"/>
      <c r="E225" s="111"/>
      <c r="F225" s="445"/>
      <c r="G225" s="391"/>
      <c r="H225" s="391"/>
      <c r="I225" s="140"/>
      <c r="J225" s="445"/>
      <c r="K225" s="445"/>
      <c r="L225" s="445"/>
      <c r="M225" s="445"/>
      <c r="N225" s="445"/>
      <c r="O225" s="140"/>
      <c r="P225" s="140"/>
    </row>
    <row r="226" spans="2:16">
      <c r="B226" s="384"/>
      <c r="C226" s="384"/>
      <c r="D226" s="384"/>
      <c r="E226" s="111"/>
      <c r="F226" s="445"/>
      <c r="G226" s="391"/>
      <c r="H226" s="391"/>
      <c r="I226" s="140"/>
      <c r="J226" s="445"/>
      <c r="K226" s="445"/>
      <c r="L226" s="445"/>
      <c r="M226" s="445"/>
      <c r="N226" s="445"/>
      <c r="O226" s="140"/>
      <c r="P226" s="140"/>
    </row>
    <row r="227" spans="2:16" s="388" customFormat="1">
      <c r="B227" s="384"/>
      <c r="C227" s="384"/>
      <c r="D227" s="384"/>
      <c r="E227" s="111"/>
      <c r="F227" s="391"/>
      <c r="G227" s="391"/>
      <c r="H227" s="391"/>
      <c r="I227" s="391"/>
      <c r="J227" s="391"/>
      <c r="K227" s="391"/>
      <c r="L227" s="391"/>
      <c r="M227" s="391"/>
      <c r="N227" s="391"/>
      <c r="O227" s="140"/>
      <c r="P227" s="140"/>
    </row>
    <row r="228" spans="2:16">
      <c r="B228" s="384"/>
      <c r="C228" s="384"/>
      <c r="D228" s="384"/>
      <c r="E228" s="111"/>
      <c r="F228" s="140"/>
      <c r="G228" s="140"/>
      <c r="H228" s="140"/>
      <c r="I228" s="140"/>
      <c r="J228" s="140"/>
      <c r="K228" s="140"/>
      <c r="L228" s="140"/>
      <c r="M228" s="140"/>
      <c r="N228" s="140"/>
      <c r="O228" s="140"/>
      <c r="P228" s="140"/>
    </row>
    <row r="229" spans="2:16">
      <c r="B229" s="384"/>
      <c r="C229" s="384"/>
      <c r="D229" s="384"/>
      <c r="E229" s="111"/>
      <c r="F229" s="445"/>
      <c r="G229" s="445"/>
      <c r="H229" s="445"/>
      <c r="I229" s="445"/>
      <c r="J229" s="445"/>
      <c r="K229" s="445"/>
      <c r="L229" s="445"/>
      <c r="M229" s="445"/>
      <c r="N229" s="445"/>
      <c r="O229" s="140"/>
      <c r="P229" s="140"/>
    </row>
    <row r="230" spans="2:16">
      <c r="B230" s="384"/>
      <c r="C230" s="384"/>
      <c r="D230" s="384"/>
      <c r="E230" s="111"/>
      <c r="F230" s="445"/>
      <c r="G230" s="140"/>
      <c r="H230" s="140"/>
      <c r="I230" s="445"/>
      <c r="J230" s="445"/>
      <c r="K230" s="445"/>
      <c r="L230" s="445"/>
      <c r="M230" s="445"/>
      <c r="N230" s="445"/>
      <c r="O230" s="140"/>
      <c r="P230" s="140"/>
    </row>
    <row r="231" spans="2:16">
      <c r="B231" s="384"/>
      <c r="C231" s="384"/>
      <c r="D231" s="384"/>
      <c r="E231" s="111"/>
      <c r="F231" s="445"/>
      <c r="G231" s="140"/>
      <c r="H231" s="140"/>
      <c r="I231" s="445"/>
      <c r="J231" s="445"/>
      <c r="K231" s="445"/>
      <c r="L231" s="445"/>
      <c r="M231" s="445"/>
      <c r="N231" s="445"/>
      <c r="O231" s="140"/>
      <c r="P231" s="140"/>
    </row>
    <row r="232" spans="2:16">
      <c r="B232" s="384"/>
      <c r="C232" s="384"/>
      <c r="D232" s="384"/>
      <c r="E232" s="111"/>
      <c r="F232" s="445"/>
      <c r="G232" s="140"/>
      <c r="H232" s="140"/>
      <c r="I232" s="140"/>
      <c r="J232" s="445"/>
      <c r="K232" s="445"/>
      <c r="L232" s="445"/>
      <c r="M232" s="445"/>
      <c r="N232" s="445"/>
      <c r="O232" s="140"/>
      <c r="P232" s="140"/>
    </row>
    <row r="233" spans="2:16">
      <c r="B233" s="384"/>
      <c r="C233" s="384"/>
      <c r="D233" s="384"/>
      <c r="E233" s="111"/>
      <c r="F233" s="140"/>
      <c r="G233" s="140"/>
      <c r="H233" s="140"/>
      <c r="I233" s="140"/>
      <c r="J233" s="140"/>
      <c r="K233" s="140"/>
      <c r="L233" s="140"/>
      <c r="M233" s="140"/>
      <c r="N233" s="140"/>
      <c r="O233" s="140"/>
      <c r="P233" s="140"/>
    </row>
    <row r="234" spans="2:16">
      <c r="B234" s="384"/>
      <c r="C234" s="384"/>
      <c r="D234" s="384"/>
      <c r="E234" s="111"/>
      <c r="F234" s="140"/>
      <c r="G234" s="140"/>
      <c r="H234" s="140"/>
      <c r="I234" s="140"/>
      <c r="J234" s="140"/>
      <c r="K234" s="140"/>
      <c r="L234" s="140"/>
      <c r="M234" s="140"/>
      <c r="N234" s="140"/>
      <c r="O234" s="140"/>
      <c r="P234" s="140"/>
    </row>
    <row r="235" spans="2:16">
      <c r="B235" s="384"/>
      <c r="C235" s="384"/>
      <c r="D235" s="384"/>
      <c r="E235" s="111"/>
      <c r="F235" s="445"/>
      <c r="G235" s="445"/>
      <c r="H235" s="445"/>
      <c r="I235" s="445"/>
      <c r="J235" s="445"/>
      <c r="K235" s="445"/>
      <c r="L235" s="445"/>
      <c r="M235" s="445"/>
      <c r="N235" s="445"/>
      <c r="O235" s="140"/>
      <c r="P235" s="140"/>
    </row>
    <row r="236" spans="2:16">
      <c r="B236" s="384"/>
      <c r="C236" s="384"/>
      <c r="D236" s="384"/>
      <c r="E236" s="385"/>
      <c r="F236" s="445"/>
      <c r="G236" s="391"/>
      <c r="H236" s="445"/>
      <c r="I236" s="140"/>
      <c r="J236" s="445"/>
      <c r="K236" s="445"/>
      <c r="L236" s="445"/>
      <c r="M236" s="445"/>
      <c r="N236" s="445"/>
      <c r="O236" s="445"/>
      <c r="P236" s="445"/>
    </row>
    <row r="237" spans="2:16">
      <c r="B237" s="384"/>
      <c r="C237" s="384"/>
      <c r="D237" s="384"/>
      <c r="E237" s="385"/>
      <c r="F237" s="445"/>
      <c r="G237" s="391"/>
      <c r="H237" s="445"/>
      <c r="I237" s="445"/>
      <c r="J237" s="445"/>
      <c r="K237" s="445"/>
      <c r="L237" s="445"/>
      <c r="M237" s="445"/>
      <c r="N237" s="445"/>
      <c r="O237" s="445"/>
      <c r="P237" s="445"/>
    </row>
    <row r="238" spans="2:16">
      <c r="B238" s="384"/>
      <c r="C238" s="384"/>
      <c r="D238" s="384"/>
      <c r="E238" s="385"/>
      <c r="F238" s="445"/>
      <c r="G238" s="391"/>
      <c r="H238" s="445"/>
      <c r="I238" s="445"/>
      <c r="J238" s="445"/>
      <c r="K238" s="445"/>
      <c r="L238" s="445"/>
      <c r="M238" s="445"/>
      <c r="N238" s="445"/>
      <c r="O238" s="445"/>
      <c r="P238" s="445"/>
    </row>
    <row r="239" spans="2:16">
      <c r="B239" s="384"/>
      <c r="C239" s="384"/>
      <c r="D239" s="384"/>
      <c r="E239" s="385"/>
      <c r="F239" s="445"/>
      <c r="G239" s="391"/>
      <c r="H239" s="445"/>
      <c r="I239" s="445"/>
      <c r="J239" s="445"/>
      <c r="K239" s="445"/>
      <c r="L239" s="445"/>
      <c r="M239" s="445"/>
      <c r="N239" s="445"/>
      <c r="O239" s="445"/>
      <c r="P239" s="445"/>
    </row>
    <row r="240" spans="2:16">
      <c r="B240" s="384"/>
      <c r="C240" s="384"/>
      <c r="D240" s="384"/>
      <c r="E240" s="385"/>
      <c r="F240" s="445"/>
      <c r="G240" s="391"/>
      <c r="H240" s="445"/>
      <c r="I240" s="445"/>
      <c r="J240" s="445"/>
      <c r="K240" s="445"/>
      <c r="L240" s="445"/>
      <c r="M240" s="445"/>
      <c r="N240" s="445"/>
      <c r="O240" s="445"/>
      <c r="P240" s="445"/>
    </row>
    <row r="241" spans="2:16">
      <c r="B241" s="384"/>
      <c r="C241" s="384"/>
      <c r="D241" s="384"/>
      <c r="E241" s="385"/>
      <c r="F241" s="445"/>
      <c r="G241" s="391"/>
      <c r="H241" s="445"/>
      <c r="I241" s="445"/>
      <c r="J241" s="445"/>
      <c r="K241" s="445"/>
      <c r="L241" s="445"/>
      <c r="M241" s="445"/>
      <c r="N241" s="445"/>
      <c r="O241" s="445"/>
      <c r="P241" s="445"/>
    </row>
    <row r="242" spans="2:16">
      <c r="B242" s="384"/>
      <c r="C242" s="384"/>
      <c r="D242" s="384"/>
      <c r="E242" s="385"/>
      <c r="F242" s="445"/>
      <c r="G242" s="391"/>
      <c r="H242" s="445"/>
      <c r="I242" s="445"/>
      <c r="J242" s="445"/>
      <c r="K242" s="445"/>
      <c r="L242" s="445"/>
      <c r="M242" s="445"/>
      <c r="N242" s="445"/>
      <c r="O242" s="445"/>
      <c r="P242" s="445"/>
    </row>
    <row r="243" spans="2:16">
      <c r="B243" s="384"/>
      <c r="C243" s="384"/>
      <c r="D243" s="384"/>
      <c r="E243" s="385"/>
      <c r="F243" s="445"/>
      <c r="G243" s="391"/>
      <c r="H243" s="445"/>
      <c r="I243" s="140"/>
      <c r="J243" s="445"/>
      <c r="K243" s="445"/>
      <c r="L243" s="445"/>
      <c r="M243" s="445"/>
      <c r="N243" s="445"/>
      <c r="O243" s="445"/>
      <c r="P243" s="445"/>
    </row>
    <row r="244" spans="2:16">
      <c r="B244" s="384"/>
      <c r="C244" s="384"/>
      <c r="D244" s="384"/>
      <c r="E244" s="385"/>
      <c r="F244" s="445"/>
      <c r="G244" s="391"/>
      <c r="H244" s="445"/>
      <c r="I244" s="140"/>
      <c r="J244" s="445"/>
      <c r="K244" s="445"/>
      <c r="L244" s="445"/>
      <c r="M244" s="445"/>
      <c r="N244" s="445"/>
      <c r="O244" s="445"/>
      <c r="P244" s="445"/>
    </row>
    <row r="245" spans="2:16">
      <c r="B245" s="384"/>
      <c r="C245" s="384"/>
      <c r="D245" s="384"/>
      <c r="E245" s="385"/>
      <c r="F245" s="445"/>
      <c r="G245" s="391"/>
      <c r="H245" s="445"/>
      <c r="I245" s="140"/>
      <c r="J245" s="445"/>
      <c r="K245" s="445"/>
      <c r="L245" s="445"/>
      <c r="M245" s="445"/>
      <c r="N245" s="445"/>
      <c r="O245" s="445"/>
      <c r="P245" s="445"/>
    </row>
    <row r="246" spans="2:16">
      <c r="B246" s="384"/>
      <c r="C246" s="384"/>
      <c r="D246" s="384"/>
      <c r="E246" s="385"/>
      <c r="F246" s="445"/>
      <c r="G246" s="391"/>
      <c r="H246" s="445"/>
      <c r="I246" s="140"/>
      <c r="J246" s="445"/>
      <c r="K246" s="445"/>
      <c r="L246" s="445"/>
      <c r="M246" s="445"/>
      <c r="N246" s="445"/>
      <c r="O246" s="445"/>
      <c r="P246" s="445"/>
    </row>
    <row r="247" spans="2:16">
      <c r="B247" s="384"/>
      <c r="C247" s="384"/>
      <c r="D247" s="384"/>
      <c r="E247" s="385"/>
      <c r="F247" s="391"/>
      <c r="G247" s="391"/>
      <c r="H247" s="445"/>
      <c r="I247" s="445"/>
      <c r="J247" s="445"/>
      <c r="K247" s="445"/>
      <c r="L247" s="445"/>
      <c r="M247" s="445"/>
      <c r="N247" s="445"/>
      <c r="O247" s="445"/>
      <c r="P247" s="445"/>
    </row>
    <row r="248" spans="2:16">
      <c r="B248" s="384"/>
      <c r="C248" s="384"/>
      <c r="D248" s="384"/>
      <c r="E248" s="385"/>
      <c r="F248" s="391"/>
      <c r="G248" s="391"/>
      <c r="H248" s="445"/>
      <c r="I248" s="445"/>
      <c r="J248" s="445"/>
      <c r="K248" s="445"/>
      <c r="L248" s="445"/>
      <c r="M248" s="445"/>
      <c r="N248" s="445"/>
      <c r="O248" s="445"/>
      <c r="P248" s="445"/>
    </row>
    <row r="249" spans="2:16">
      <c r="B249" s="384"/>
      <c r="C249" s="384"/>
      <c r="D249" s="384"/>
      <c r="E249" s="385"/>
      <c r="F249" s="391"/>
      <c r="G249" s="391"/>
      <c r="H249" s="445"/>
      <c r="I249" s="445"/>
      <c r="J249" s="445"/>
      <c r="K249" s="445"/>
      <c r="L249" s="445"/>
      <c r="M249" s="445"/>
      <c r="N249" s="445"/>
      <c r="O249" s="445"/>
      <c r="P249" s="445"/>
    </row>
    <row r="250" spans="2:16">
      <c r="B250" s="384"/>
      <c r="C250" s="384"/>
      <c r="D250" s="384"/>
      <c r="E250" s="385"/>
      <c r="F250" s="391"/>
      <c r="G250" s="391"/>
      <c r="H250" s="445"/>
      <c r="I250" s="445"/>
      <c r="J250" s="445"/>
      <c r="K250" s="445"/>
      <c r="L250" s="445"/>
      <c r="M250" s="445"/>
      <c r="N250" s="445"/>
      <c r="O250" s="445"/>
      <c r="P250" s="445"/>
    </row>
    <row r="251" spans="2:16">
      <c r="B251" s="384"/>
      <c r="C251" s="384"/>
      <c r="D251" s="384"/>
      <c r="E251" s="385"/>
      <c r="F251" s="391"/>
      <c r="G251" s="391"/>
      <c r="H251" s="445"/>
      <c r="I251" s="445"/>
      <c r="J251" s="445"/>
      <c r="K251" s="445"/>
      <c r="L251" s="445"/>
      <c r="M251" s="445"/>
      <c r="N251" s="445"/>
      <c r="O251" s="445"/>
      <c r="P251" s="445"/>
    </row>
    <row r="252" spans="2:16">
      <c r="B252" s="384"/>
      <c r="C252" s="384"/>
      <c r="D252" s="384"/>
      <c r="E252" s="385"/>
      <c r="F252" s="391"/>
      <c r="G252" s="391"/>
      <c r="H252" s="445"/>
      <c r="I252" s="445"/>
      <c r="J252" s="445"/>
      <c r="K252" s="445"/>
      <c r="L252" s="445"/>
      <c r="M252" s="445"/>
      <c r="N252" s="445"/>
      <c r="O252" s="445"/>
      <c r="P252" s="445"/>
    </row>
    <row r="253" spans="2:16">
      <c r="B253" s="384"/>
      <c r="C253" s="384"/>
      <c r="D253" s="384"/>
      <c r="E253" s="385"/>
      <c r="F253" s="391"/>
      <c r="G253" s="391"/>
      <c r="H253" s="445"/>
      <c r="I253" s="445"/>
      <c r="J253" s="445"/>
      <c r="K253" s="445"/>
      <c r="L253" s="445"/>
      <c r="M253" s="445"/>
      <c r="N253" s="445"/>
      <c r="O253" s="445"/>
      <c r="P253" s="445"/>
    </row>
    <row r="254" spans="2:16">
      <c r="B254" s="384"/>
      <c r="C254" s="384"/>
      <c r="D254" s="384"/>
      <c r="E254" s="385"/>
      <c r="F254" s="391"/>
      <c r="G254" s="391"/>
      <c r="H254" s="445"/>
      <c r="I254" s="445"/>
      <c r="J254" s="445"/>
      <c r="K254" s="445"/>
      <c r="L254" s="445"/>
      <c r="M254" s="445"/>
      <c r="N254" s="445"/>
      <c r="O254" s="445"/>
      <c r="P254" s="445"/>
    </row>
    <row r="255" spans="2:16">
      <c r="B255" s="384"/>
      <c r="C255" s="384"/>
      <c r="D255" s="384"/>
      <c r="E255" s="385"/>
      <c r="F255" s="391"/>
      <c r="G255" s="391"/>
      <c r="H255" s="445"/>
      <c r="I255" s="445"/>
      <c r="J255" s="445"/>
      <c r="K255" s="445"/>
      <c r="L255" s="445"/>
      <c r="M255" s="445"/>
      <c r="N255" s="445"/>
      <c r="O255" s="445"/>
      <c r="P255" s="445"/>
    </row>
    <row r="256" spans="2:16">
      <c r="B256" s="384"/>
      <c r="C256" s="384"/>
      <c r="D256" s="384"/>
      <c r="E256" s="385"/>
      <c r="F256" s="391"/>
      <c r="G256" s="391"/>
      <c r="H256" s="445"/>
      <c r="I256" s="445"/>
      <c r="J256" s="445"/>
      <c r="K256" s="445"/>
      <c r="L256" s="445"/>
      <c r="M256" s="445"/>
      <c r="N256" s="445"/>
      <c r="O256" s="445"/>
      <c r="P256" s="445"/>
    </row>
    <row r="257" spans="2:16">
      <c r="B257" s="384"/>
      <c r="C257" s="384"/>
      <c r="D257" s="384"/>
      <c r="E257" s="385"/>
      <c r="F257" s="391"/>
      <c r="G257" s="391"/>
      <c r="H257" s="445"/>
      <c r="I257" s="445"/>
      <c r="J257" s="445"/>
      <c r="K257" s="445"/>
      <c r="L257" s="445"/>
      <c r="M257" s="445"/>
      <c r="N257" s="445"/>
      <c r="O257" s="445"/>
      <c r="P257" s="445"/>
    </row>
    <row r="258" spans="2:16">
      <c r="B258" s="384"/>
      <c r="C258" s="384"/>
      <c r="D258" s="384"/>
      <c r="E258" s="385"/>
      <c r="F258" s="445"/>
      <c r="G258" s="391"/>
      <c r="H258" s="445"/>
      <c r="I258" s="445"/>
      <c r="J258" s="445"/>
      <c r="K258" s="445"/>
      <c r="L258" s="445"/>
      <c r="M258" s="445"/>
      <c r="N258" s="445"/>
      <c r="O258" s="445"/>
      <c r="P258" s="445"/>
    </row>
    <row r="259" spans="2:16">
      <c r="B259" s="384"/>
      <c r="C259" s="384"/>
      <c r="D259" s="393"/>
      <c r="E259" s="110"/>
      <c r="F259" s="452"/>
      <c r="G259" s="445"/>
      <c r="H259" s="445"/>
      <c r="I259" s="453"/>
      <c r="J259" s="452"/>
      <c r="K259" s="452"/>
      <c r="L259" s="452"/>
      <c r="M259" s="452"/>
      <c r="N259" s="452"/>
      <c r="O259" s="445"/>
      <c r="P259" s="445"/>
    </row>
    <row r="260" spans="2:16">
      <c r="B260" s="384"/>
      <c r="C260" s="384"/>
      <c r="D260" s="387"/>
      <c r="E260" s="385"/>
      <c r="F260" s="445"/>
      <c r="G260" s="391"/>
      <c r="H260" s="445"/>
      <c r="I260" s="445"/>
      <c r="J260" s="445"/>
      <c r="K260" s="445"/>
      <c r="L260" s="445"/>
      <c r="M260" s="445"/>
      <c r="N260" s="445"/>
      <c r="O260" s="445"/>
      <c r="P260" s="445"/>
    </row>
    <row r="261" spans="2:16">
      <c r="B261" s="384"/>
      <c r="C261" s="384"/>
      <c r="D261" s="387"/>
      <c r="E261" s="385"/>
      <c r="F261" s="445"/>
      <c r="G261" s="391"/>
      <c r="H261" s="445"/>
      <c r="I261" s="445"/>
      <c r="J261" s="445"/>
      <c r="K261" s="445"/>
      <c r="L261" s="445"/>
      <c r="M261" s="445"/>
      <c r="N261" s="445"/>
      <c r="O261" s="445"/>
      <c r="P261" s="445"/>
    </row>
    <row r="262" spans="2:16">
      <c r="B262" s="384"/>
      <c r="C262" s="384"/>
      <c r="D262" s="393"/>
      <c r="E262" s="385"/>
      <c r="F262" s="453"/>
      <c r="G262" s="453"/>
      <c r="H262" s="453"/>
      <c r="I262" s="453"/>
      <c r="J262" s="453"/>
      <c r="K262" s="453"/>
      <c r="L262" s="453"/>
      <c r="M262" s="453"/>
      <c r="N262" s="453"/>
      <c r="O262" s="453"/>
      <c r="P262" s="140"/>
    </row>
    <row r="263" spans="2:16">
      <c r="B263" s="384"/>
      <c r="C263" s="384"/>
      <c r="D263" s="384"/>
      <c r="E263" s="385"/>
      <c r="F263" s="445"/>
      <c r="G263" s="391"/>
      <c r="H263" s="445"/>
      <c r="I263" s="445"/>
      <c r="J263" s="445"/>
      <c r="K263" s="445"/>
      <c r="L263" s="445"/>
      <c r="M263" s="445"/>
      <c r="N263" s="445"/>
      <c r="O263" s="445"/>
      <c r="P263" s="445"/>
    </row>
    <row r="264" spans="2:16">
      <c r="B264" s="384"/>
      <c r="C264" s="384"/>
      <c r="D264" s="384"/>
      <c r="E264" s="110"/>
      <c r="F264" s="445"/>
      <c r="G264" s="391"/>
      <c r="H264" s="445"/>
      <c r="I264" s="445"/>
      <c r="J264" s="445"/>
      <c r="K264" s="445"/>
      <c r="L264" s="445"/>
      <c r="M264" s="445"/>
      <c r="N264" s="445"/>
      <c r="O264" s="445"/>
      <c r="P264" s="445"/>
    </row>
    <row r="265" spans="2:16">
      <c r="B265" s="394"/>
      <c r="C265" s="390"/>
      <c r="D265" s="384"/>
      <c r="E265" s="167"/>
      <c r="F265" s="445"/>
      <c r="G265" s="391"/>
      <c r="H265" s="445"/>
      <c r="I265" s="445"/>
      <c r="J265" s="445"/>
      <c r="K265" s="445"/>
      <c r="L265" s="445"/>
      <c r="M265" s="445"/>
      <c r="N265" s="445"/>
      <c r="O265" s="445"/>
      <c r="P265" s="445"/>
    </row>
    <row r="266" spans="2:16">
      <c r="B266" s="394"/>
      <c r="C266" s="390"/>
      <c r="D266" s="384"/>
      <c r="E266" s="167"/>
      <c r="F266" s="445"/>
      <c r="G266" s="391"/>
      <c r="H266" s="445"/>
      <c r="I266" s="445"/>
      <c r="J266" s="445"/>
      <c r="K266" s="445"/>
      <c r="L266" s="445"/>
      <c r="M266" s="445"/>
      <c r="N266" s="445"/>
      <c r="O266" s="445"/>
      <c r="P266" s="445"/>
    </row>
    <row r="267" spans="2:16">
      <c r="B267" s="394"/>
      <c r="C267" s="390"/>
      <c r="D267" s="384"/>
      <c r="E267" s="167"/>
      <c r="F267" s="445"/>
      <c r="G267" s="391"/>
      <c r="H267" s="445"/>
      <c r="I267" s="445"/>
      <c r="J267" s="445"/>
      <c r="K267" s="445"/>
      <c r="L267" s="445"/>
      <c r="M267" s="445"/>
      <c r="N267" s="445"/>
      <c r="O267" s="445"/>
      <c r="P267" s="445"/>
    </row>
    <row r="268" spans="2:16">
      <c r="B268" s="394"/>
      <c r="C268" s="390"/>
      <c r="D268" s="384"/>
      <c r="E268" s="167"/>
      <c r="F268" s="445"/>
      <c r="G268" s="391"/>
      <c r="H268" s="445"/>
      <c r="I268" s="445"/>
      <c r="J268" s="445"/>
      <c r="K268" s="445"/>
      <c r="L268" s="445"/>
      <c r="M268" s="445"/>
      <c r="N268" s="445"/>
      <c r="O268" s="445"/>
      <c r="P268" s="445"/>
    </row>
    <row r="269" spans="2:16">
      <c r="B269" s="394"/>
      <c r="C269" s="390"/>
      <c r="D269" s="384"/>
      <c r="E269" s="167"/>
      <c r="F269" s="445"/>
      <c r="G269" s="391"/>
      <c r="H269" s="445"/>
      <c r="I269" s="445"/>
      <c r="J269" s="445"/>
      <c r="K269" s="445"/>
      <c r="L269" s="445"/>
      <c r="M269" s="445"/>
      <c r="N269" s="445"/>
      <c r="O269" s="445"/>
      <c r="P269" s="445"/>
    </row>
    <row r="270" spans="2:16">
      <c r="B270" s="394"/>
      <c r="C270" s="390"/>
      <c r="D270" s="384"/>
      <c r="E270" s="167"/>
      <c r="F270" s="445"/>
      <c r="G270" s="391"/>
      <c r="H270" s="445"/>
      <c r="I270" s="445"/>
      <c r="J270" s="445"/>
      <c r="K270" s="445"/>
      <c r="L270" s="445"/>
      <c r="M270" s="445"/>
      <c r="N270" s="445"/>
      <c r="O270" s="445"/>
      <c r="P270" s="445"/>
    </row>
    <row r="271" spans="2:16">
      <c r="B271" s="394"/>
      <c r="C271" s="390"/>
      <c r="D271" s="384"/>
      <c r="E271" s="167"/>
      <c r="F271" s="445"/>
      <c r="G271" s="391"/>
      <c r="H271" s="445"/>
      <c r="I271" s="445"/>
      <c r="J271" s="445"/>
      <c r="K271" s="445"/>
      <c r="L271" s="445"/>
      <c r="M271" s="445"/>
      <c r="N271" s="445"/>
      <c r="O271" s="445"/>
      <c r="P271" s="445"/>
    </row>
    <row r="272" spans="2:16">
      <c r="B272" s="394"/>
      <c r="C272" s="390"/>
      <c r="D272" s="384"/>
      <c r="E272" s="454"/>
      <c r="F272" s="445"/>
      <c r="G272" s="391"/>
      <c r="H272" s="445"/>
      <c r="I272" s="445"/>
      <c r="J272" s="445"/>
      <c r="K272" s="445"/>
      <c r="L272" s="445"/>
      <c r="M272" s="445"/>
      <c r="N272" s="445"/>
      <c r="O272" s="445"/>
      <c r="P272" s="445"/>
    </row>
    <row r="273" spans="2:16">
      <c r="B273" s="394"/>
      <c r="C273" s="390"/>
      <c r="D273" s="384"/>
      <c r="E273" s="167"/>
      <c r="F273" s="445"/>
      <c r="G273" s="391"/>
      <c r="H273" s="445"/>
      <c r="I273" s="445"/>
      <c r="J273" s="445"/>
      <c r="K273" s="445"/>
      <c r="L273" s="445"/>
      <c r="M273" s="445"/>
      <c r="N273" s="445"/>
      <c r="O273" s="445"/>
      <c r="P273" s="445"/>
    </row>
    <row r="274" spans="2:16">
      <c r="B274" s="384"/>
      <c r="C274" s="384"/>
      <c r="D274" s="384"/>
      <c r="E274" s="110"/>
      <c r="F274" s="445"/>
      <c r="G274" s="391"/>
      <c r="H274" s="445"/>
      <c r="I274" s="445"/>
      <c r="J274" s="445"/>
      <c r="K274" s="445"/>
      <c r="L274" s="445"/>
      <c r="M274" s="445"/>
      <c r="N274" s="445"/>
      <c r="O274" s="445"/>
      <c r="P274" s="445"/>
    </row>
    <row r="275" spans="2:16">
      <c r="B275" s="384"/>
      <c r="C275" s="384"/>
      <c r="D275" s="384"/>
      <c r="E275" s="385"/>
      <c r="F275" s="445"/>
      <c r="G275" s="391"/>
      <c r="H275" s="445"/>
      <c r="I275" s="445"/>
      <c r="J275" s="445"/>
      <c r="K275" s="445"/>
      <c r="L275" s="445"/>
      <c r="M275" s="445"/>
      <c r="N275" s="445"/>
      <c r="O275" s="445"/>
      <c r="P275" s="445"/>
    </row>
    <row r="276" spans="2:16">
      <c r="B276" s="384"/>
      <c r="C276" s="384"/>
      <c r="D276" s="384"/>
      <c r="E276" s="385"/>
      <c r="F276" s="445"/>
      <c r="G276" s="391"/>
      <c r="H276" s="445"/>
      <c r="I276" s="445"/>
      <c r="J276" s="445"/>
      <c r="K276" s="445"/>
      <c r="L276" s="445"/>
      <c r="M276" s="445"/>
      <c r="N276" s="445"/>
      <c r="O276" s="445"/>
      <c r="P276" s="445"/>
    </row>
    <row r="277" spans="2:16">
      <c r="B277" s="439"/>
      <c r="C277" s="384"/>
      <c r="D277" s="384"/>
      <c r="E277" s="385"/>
      <c r="F277" s="144"/>
      <c r="G277" s="392"/>
      <c r="H277" s="144"/>
      <c r="I277" s="144"/>
      <c r="J277" s="144"/>
      <c r="K277" s="144"/>
      <c r="L277" s="144"/>
      <c r="M277" s="144"/>
      <c r="N277" s="144"/>
      <c r="O277" s="144"/>
      <c r="P277" s="144"/>
    </row>
    <row r="278" spans="2:16">
      <c r="B278" s="439"/>
      <c r="C278" s="384"/>
      <c r="D278" s="384"/>
      <c r="E278" s="385"/>
      <c r="F278" s="144"/>
      <c r="G278" s="392"/>
      <c r="H278" s="144"/>
      <c r="I278" s="144"/>
      <c r="J278" s="144"/>
      <c r="K278" s="144"/>
      <c r="L278" s="144"/>
      <c r="M278" s="144"/>
      <c r="N278" s="144"/>
      <c r="O278" s="144"/>
      <c r="P278" s="144"/>
    </row>
    <row r="279" spans="2:16">
      <c r="B279" s="439"/>
      <c r="C279" s="438"/>
      <c r="D279" s="439"/>
      <c r="E279" s="438"/>
      <c r="F279" s="439"/>
      <c r="G279" s="439"/>
      <c r="H279" s="439"/>
      <c r="I279" s="439"/>
      <c r="J279" s="439"/>
      <c r="K279" s="439"/>
      <c r="L279" s="439"/>
      <c r="M279" s="439"/>
      <c r="N279" s="439"/>
      <c r="O279" s="439"/>
      <c r="P279" s="439"/>
    </row>
  </sheetData>
  <pageMargins left="0.70866141732283472" right="0.70866141732283472" top="0.74803149606299213" bottom="0.74803149606299213" header="0.31496062992125984" footer="0.31496062992125984"/>
  <pageSetup paperSize="8" scale="64" fitToHeight="6" orientation="landscape" r:id="rId1"/>
</worksheet>
</file>

<file path=xl/worksheets/sheet9.xml><?xml version="1.0" encoding="utf-8"?>
<worksheet xmlns="http://schemas.openxmlformats.org/spreadsheetml/2006/main" xmlns:r="http://schemas.openxmlformats.org/officeDocument/2006/relationships">
  <sheetPr>
    <tabColor theme="3"/>
  </sheetPr>
  <dimension ref="B2:S266"/>
  <sheetViews>
    <sheetView view="pageBreakPreview" zoomScale="60" zoomScaleNormal="60" workbookViewId="0">
      <selection activeCell="N138" sqref="N138"/>
    </sheetView>
  </sheetViews>
  <sheetFormatPr baseColWidth="10" defaultRowHeight="15"/>
  <cols>
    <col min="1" max="1" width="4.28515625" customWidth="1"/>
    <col min="2" max="2" width="18.28515625" style="113" customWidth="1"/>
    <col min="3" max="3" width="15.42578125" customWidth="1"/>
    <col min="4" max="4" width="52.28515625" style="203" customWidth="1"/>
    <col min="5" max="5" width="2" style="199" customWidth="1"/>
    <col min="6" max="6" width="21.7109375" style="113" customWidth="1"/>
    <col min="7" max="7" width="20.140625" style="113" customWidth="1"/>
    <col min="8" max="8" width="19.140625" style="113" customWidth="1"/>
    <col min="9" max="9" width="13.7109375" style="113" customWidth="1"/>
    <col min="10" max="10" width="13.28515625" style="113" customWidth="1"/>
    <col min="11" max="11" width="14" style="113" customWidth="1"/>
    <col min="12" max="12" width="15.7109375" style="113" customWidth="1"/>
    <col min="13" max="13" width="21.5703125" style="113" customWidth="1"/>
    <col min="14" max="14" width="18.42578125" style="113" customWidth="1"/>
    <col min="15" max="15" width="15.7109375" style="113" customWidth="1"/>
    <col min="16" max="16" width="17.5703125" style="113" customWidth="1"/>
    <col min="17" max="17" width="2.5703125" style="179" customWidth="1"/>
    <col min="18" max="18" width="19.42578125" style="113" customWidth="1"/>
    <col min="19" max="19" width="29.5703125" style="113" customWidth="1"/>
  </cols>
  <sheetData>
    <row r="2" spans="2:19" ht="141.6" customHeight="1">
      <c r="B2" s="169" t="s">
        <v>459</v>
      </c>
      <c r="C2" s="169" t="s">
        <v>47</v>
      </c>
      <c r="D2" s="170" t="s">
        <v>505</v>
      </c>
      <c r="E2" s="171"/>
      <c r="F2" s="172" t="s">
        <v>585</v>
      </c>
      <c r="G2" s="84" t="s">
        <v>586</v>
      </c>
      <c r="H2" s="84" t="s">
        <v>587</v>
      </c>
      <c r="I2" s="84" t="s">
        <v>588</v>
      </c>
      <c r="J2" s="84" t="s">
        <v>589</v>
      </c>
      <c r="K2" s="84" t="s">
        <v>590</v>
      </c>
      <c r="L2" s="84" t="s">
        <v>591</v>
      </c>
      <c r="M2" s="84" t="s">
        <v>592</v>
      </c>
      <c r="N2" s="84" t="s">
        <v>593</v>
      </c>
      <c r="O2" s="84" t="s">
        <v>594</v>
      </c>
      <c r="P2" s="173" t="s">
        <v>595</v>
      </c>
      <c r="Q2" s="174"/>
      <c r="R2" s="172" t="s">
        <v>596</v>
      </c>
      <c r="S2" s="84" t="s">
        <v>597</v>
      </c>
    </row>
    <row r="3" spans="2:19">
      <c r="B3" s="89">
        <v>1</v>
      </c>
      <c r="C3" s="47" t="s">
        <v>199</v>
      </c>
      <c r="D3" s="454" t="s">
        <v>1732</v>
      </c>
      <c r="E3" s="175"/>
      <c r="F3" s="176">
        <v>200</v>
      </c>
      <c r="G3" s="177"/>
      <c r="H3" s="177"/>
      <c r="I3" s="177"/>
      <c r="J3" s="177"/>
      <c r="K3" s="177"/>
      <c r="L3" s="177"/>
      <c r="M3" s="178">
        <v>20000</v>
      </c>
      <c r="N3" s="89"/>
      <c r="O3" s="89">
        <v>1</v>
      </c>
      <c r="P3" s="107">
        <v>6000</v>
      </c>
      <c r="R3" s="180">
        <v>200</v>
      </c>
      <c r="S3" s="89" t="s">
        <v>598</v>
      </c>
    </row>
    <row r="4" spans="2:19">
      <c r="B4" s="89">
        <v>2</v>
      </c>
      <c r="C4" s="47" t="s">
        <v>201</v>
      </c>
      <c r="D4" s="454" t="s">
        <v>1735</v>
      </c>
      <c r="E4" s="175"/>
      <c r="F4" s="176">
        <v>5</v>
      </c>
      <c r="G4" s="177"/>
      <c r="H4" s="177"/>
      <c r="I4" s="177">
        <v>20</v>
      </c>
      <c r="J4" s="177">
        <v>20</v>
      </c>
      <c r="K4" s="177">
        <v>6</v>
      </c>
      <c r="L4" s="177"/>
      <c r="M4" s="178">
        <v>7.8</v>
      </c>
      <c r="N4" s="89"/>
      <c r="O4" s="89">
        <v>4.0000000000000002E-4</v>
      </c>
      <c r="P4" s="107">
        <v>2.4000000000000004</v>
      </c>
      <c r="R4" s="180">
        <v>5</v>
      </c>
      <c r="S4" s="89" t="s">
        <v>598</v>
      </c>
    </row>
    <row r="5" spans="2:19">
      <c r="B5" s="89">
        <v>3</v>
      </c>
      <c r="C5" s="47" t="s">
        <v>203</v>
      </c>
      <c r="D5" s="454" t="s">
        <v>1740</v>
      </c>
      <c r="E5" s="175"/>
      <c r="F5" s="176"/>
      <c r="G5" s="177"/>
      <c r="H5" s="177"/>
      <c r="I5" s="177">
        <v>700</v>
      </c>
      <c r="J5" s="177">
        <v>625</v>
      </c>
      <c r="K5" s="177">
        <v>2000</v>
      </c>
      <c r="L5" s="177"/>
      <c r="M5" s="178">
        <v>3800</v>
      </c>
      <c r="N5" s="89"/>
      <c r="O5" s="89">
        <v>0.2</v>
      </c>
      <c r="P5" s="107">
        <v>1200.0000000000002</v>
      </c>
      <c r="R5" s="180">
        <v>700</v>
      </c>
      <c r="S5" s="89" t="s">
        <v>599</v>
      </c>
    </row>
    <row r="6" spans="2:19">
      <c r="B6" s="89">
        <v>4</v>
      </c>
      <c r="C6" s="47" t="s">
        <v>204</v>
      </c>
      <c r="D6" s="454" t="s">
        <v>1742</v>
      </c>
      <c r="E6" s="175"/>
      <c r="F6" s="176"/>
      <c r="G6" s="177"/>
      <c r="H6" s="177"/>
      <c r="I6" s="177"/>
      <c r="J6" s="177"/>
      <c r="K6" s="177">
        <v>4</v>
      </c>
      <c r="L6" s="177"/>
      <c r="M6" s="178">
        <v>25</v>
      </c>
      <c r="N6" s="89">
        <v>15</v>
      </c>
      <c r="O6" s="89">
        <v>2E-3</v>
      </c>
      <c r="P6" s="107">
        <v>12</v>
      </c>
      <c r="R6" s="180">
        <v>4</v>
      </c>
      <c r="S6" s="89" t="s">
        <v>600</v>
      </c>
    </row>
    <row r="7" spans="2:19">
      <c r="B7" s="89">
        <v>5</v>
      </c>
      <c r="C7" s="47" t="s">
        <v>205</v>
      </c>
      <c r="D7" s="454" t="s">
        <v>1773</v>
      </c>
      <c r="E7" s="175"/>
      <c r="F7" s="176"/>
      <c r="G7" s="177"/>
      <c r="H7" s="177"/>
      <c r="I7" s="177"/>
      <c r="J7" s="177">
        <v>100</v>
      </c>
      <c r="K7" s="177"/>
      <c r="L7" s="177"/>
      <c r="M7" s="178">
        <v>6</v>
      </c>
      <c r="N7" s="89"/>
      <c r="O7" s="89">
        <v>1.4E-3</v>
      </c>
      <c r="P7" s="107">
        <v>8.4</v>
      </c>
      <c r="R7" s="180">
        <v>100</v>
      </c>
      <c r="S7" s="89" t="s">
        <v>601</v>
      </c>
    </row>
    <row r="8" spans="2:19">
      <c r="B8" s="89">
        <v>6</v>
      </c>
      <c r="C8" s="95" t="s">
        <v>206</v>
      </c>
      <c r="D8" s="454" t="s">
        <v>1820</v>
      </c>
      <c r="E8" s="175"/>
      <c r="F8" s="176"/>
      <c r="G8" s="177"/>
      <c r="H8" s="177"/>
      <c r="I8" s="177"/>
      <c r="J8" s="177"/>
      <c r="K8" s="177"/>
      <c r="L8" s="177"/>
      <c r="M8" s="178">
        <v>12000</v>
      </c>
      <c r="N8" s="89">
        <v>50</v>
      </c>
      <c r="O8" s="89">
        <v>0.2</v>
      </c>
      <c r="P8" s="107">
        <v>1200.0000000000002</v>
      </c>
      <c r="R8" s="180">
        <v>12000</v>
      </c>
      <c r="S8" s="89" t="s">
        <v>602</v>
      </c>
    </row>
    <row r="9" spans="2:19">
      <c r="B9" s="89">
        <v>7</v>
      </c>
      <c r="C9" s="47" t="s">
        <v>207</v>
      </c>
      <c r="D9" s="454" t="s">
        <v>1848</v>
      </c>
      <c r="E9" s="175"/>
      <c r="F9" s="176"/>
      <c r="G9" s="177"/>
      <c r="H9" s="177"/>
      <c r="I9" s="177">
        <v>400</v>
      </c>
      <c r="J9" s="177"/>
      <c r="K9" s="177"/>
      <c r="L9" s="177"/>
      <c r="M9" s="178">
        <v>430</v>
      </c>
      <c r="N9" s="89"/>
      <c r="O9" s="89">
        <v>0.06</v>
      </c>
      <c r="P9" s="107">
        <v>360</v>
      </c>
      <c r="R9" s="180">
        <v>400</v>
      </c>
      <c r="S9" s="89" t="s">
        <v>599</v>
      </c>
    </row>
    <row r="10" spans="2:19">
      <c r="B10" s="89">
        <v>8</v>
      </c>
      <c r="C10" s="47" t="s">
        <v>208</v>
      </c>
      <c r="D10" s="454" t="s">
        <v>1865</v>
      </c>
      <c r="E10" s="175"/>
      <c r="F10" s="176"/>
      <c r="G10" s="177"/>
      <c r="H10" s="177"/>
      <c r="I10" s="177"/>
      <c r="J10" s="177">
        <v>300</v>
      </c>
      <c r="K10" s="177"/>
      <c r="L10" s="177"/>
      <c r="M10" s="178">
        <v>100</v>
      </c>
      <c r="N10" s="89"/>
      <c r="O10" s="89">
        <v>5.0000000000000001E-3</v>
      </c>
      <c r="P10" s="107">
        <v>30</v>
      </c>
      <c r="R10" s="180">
        <v>300</v>
      </c>
      <c r="S10" s="89" t="s">
        <v>601</v>
      </c>
    </row>
    <row r="11" spans="2:19">
      <c r="B11" s="89">
        <v>9</v>
      </c>
      <c r="C11" s="47" t="s">
        <v>209</v>
      </c>
      <c r="D11" s="454" t="s">
        <v>1914</v>
      </c>
      <c r="E11" s="175"/>
      <c r="F11" s="176">
        <v>10</v>
      </c>
      <c r="G11" s="177"/>
      <c r="H11" s="177"/>
      <c r="I11" s="177">
        <v>40</v>
      </c>
      <c r="J11" s="177"/>
      <c r="K11" s="177">
        <v>50</v>
      </c>
      <c r="L11" s="177"/>
      <c r="M11" s="178">
        <v>100</v>
      </c>
      <c r="N11" s="89">
        <v>160</v>
      </c>
      <c r="O11" s="89">
        <v>5.0000000000000001E-3</v>
      </c>
      <c r="P11" s="107">
        <v>30</v>
      </c>
      <c r="R11" s="180">
        <v>10</v>
      </c>
      <c r="S11" s="89" t="s">
        <v>598</v>
      </c>
    </row>
    <row r="12" spans="2:19">
      <c r="B12" s="89">
        <v>10</v>
      </c>
      <c r="C12" s="47" t="s">
        <v>211</v>
      </c>
      <c r="D12" s="454" t="s">
        <v>1933</v>
      </c>
      <c r="E12" s="175"/>
      <c r="F12" s="176"/>
      <c r="G12" s="177"/>
      <c r="H12" s="177"/>
      <c r="I12" s="177"/>
      <c r="J12" s="177"/>
      <c r="K12" s="177"/>
      <c r="L12" s="177"/>
      <c r="M12" s="178"/>
      <c r="N12" s="89"/>
      <c r="O12" s="89">
        <v>3</v>
      </c>
      <c r="P12" s="107">
        <v>18000</v>
      </c>
      <c r="R12" s="180">
        <v>18000</v>
      </c>
      <c r="S12" s="89" t="s">
        <v>603</v>
      </c>
    </row>
    <row r="13" spans="2:19">
      <c r="B13" s="89">
        <v>11</v>
      </c>
      <c r="C13" s="95" t="s">
        <v>212</v>
      </c>
      <c r="D13" s="454" t="s">
        <v>1937</v>
      </c>
      <c r="E13" s="175"/>
      <c r="F13" s="176"/>
      <c r="G13" s="177"/>
      <c r="H13" s="177"/>
      <c r="I13" s="177"/>
      <c r="J13" s="177"/>
      <c r="K13" s="177"/>
      <c r="L13" s="177">
        <v>50</v>
      </c>
      <c r="M13" s="178">
        <v>86</v>
      </c>
      <c r="N13" s="89">
        <v>70</v>
      </c>
      <c r="O13" s="89">
        <v>8.9999999999999993E-3</v>
      </c>
      <c r="P13" s="107">
        <v>53.999999999999993</v>
      </c>
      <c r="R13" s="180">
        <v>50</v>
      </c>
      <c r="S13" s="89" t="s">
        <v>604</v>
      </c>
    </row>
    <row r="14" spans="2:19">
      <c r="B14" s="89">
        <v>12</v>
      </c>
      <c r="C14" s="47" t="s">
        <v>346</v>
      </c>
      <c r="D14" s="454" t="s">
        <v>1620</v>
      </c>
      <c r="E14" s="181"/>
      <c r="F14" s="176"/>
      <c r="G14" s="177">
        <v>330</v>
      </c>
      <c r="H14" s="177">
        <v>330</v>
      </c>
      <c r="I14" s="182"/>
      <c r="J14" s="177">
        <v>900</v>
      </c>
      <c r="K14" s="177"/>
      <c r="L14" s="177"/>
      <c r="M14" s="178">
        <v>2.8</v>
      </c>
      <c r="N14" s="89"/>
      <c r="O14" s="89"/>
      <c r="P14" s="107"/>
      <c r="R14" s="180">
        <v>330</v>
      </c>
      <c r="S14" s="89" t="s">
        <v>605</v>
      </c>
    </row>
    <row r="15" spans="2:19" ht="24" customHeight="1">
      <c r="B15" s="89">
        <v>13</v>
      </c>
      <c r="C15" s="48" t="s">
        <v>517</v>
      </c>
      <c r="D15" s="454" t="s">
        <v>1893</v>
      </c>
      <c r="E15" s="175"/>
      <c r="F15" s="176"/>
      <c r="G15" s="182"/>
      <c r="H15" s="177">
        <v>0.1</v>
      </c>
      <c r="I15" s="177"/>
      <c r="J15" s="177">
        <v>0.01</v>
      </c>
      <c r="K15" s="183">
        <v>0.5</v>
      </c>
      <c r="L15" s="177"/>
      <c r="M15" s="178">
        <v>4.3999999999999997E-2</v>
      </c>
      <c r="N15" s="89"/>
      <c r="O15" s="89"/>
      <c r="P15" s="107"/>
      <c r="R15" s="180">
        <v>0.1</v>
      </c>
      <c r="S15" s="89" t="s">
        <v>606</v>
      </c>
    </row>
    <row r="16" spans="2:19">
      <c r="B16" s="89">
        <v>14</v>
      </c>
      <c r="C16" s="47" t="s">
        <v>67</v>
      </c>
      <c r="D16" s="454" t="s">
        <v>1765</v>
      </c>
      <c r="E16" s="175"/>
      <c r="F16" s="176"/>
      <c r="G16" s="177">
        <v>300</v>
      </c>
      <c r="H16" s="177">
        <v>300</v>
      </c>
      <c r="I16" s="177"/>
      <c r="J16" s="177">
        <v>180</v>
      </c>
      <c r="K16" s="177">
        <v>100</v>
      </c>
      <c r="L16" s="177"/>
      <c r="M16" s="178">
        <v>78</v>
      </c>
      <c r="N16" s="89"/>
      <c r="O16" s="89"/>
      <c r="P16" s="107"/>
      <c r="R16" s="180">
        <v>300</v>
      </c>
      <c r="S16" s="89" t="s">
        <v>605</v>
      </c>
    </row>
    <row r="17" spans="2:19">
      <c r="B17" s="89">
        <v>15</v>
      </c>
      <c r="C17" s="47" t="s">
        <v>72</v>
      </c>
      <c r="D17" s="454" t="s">
        <v>1632</v>
      </c>
      <c r="E17" s="175"/>
      <c r="F17" s="176"/>
      <c r="G17" s="177">
        <v>1000</v>
      </c>
      <c r="H17" s="177">
        <v>1000</v>
      </c>
      <c r="I17" s="177">
        <v>1000</v>
      </c>
      <c r="J17" s="177">
        <v>50</v>
      </c>
      <c r="K17" s="177">
        <v>600</v>
      </c>
      <c r="L17" s="177"/>
      <c r="M17" s="178">
        <v>300</v>
      </c>
      <c r="N17" s="89"/>
      <c r="O17" s="89"/>
      <c r="P17" s="107"/>
      <c r="R17" s="180">
        <v>1000</v>
      </c>
      <c r="S17" s="89" t="s">
        <v>605</v>
      </c>
    </row>
    <row r="18" spans="2:19">
      <c r="B18" s="89">
        <v>16</v>
      </c>
      <c r="C18" s="47" t="s">
        <v>73</v>
      </c>
      <c r="D18" s="454" t="s">
        <v>1636</v>
      </c>
      <c r="E18" s="175"/>
      <c r="F18" s="176"/>
      <c r="G18" s="177">
        <v>1000</v>
      </c>
      <c r="H18" s="177">
        <v>1000</v>
      </c>
      <c r="I18" s="177"/>
      <c r="J18" s="177">
        <v>50</v>
      </c>
      <c r="K18" s="177"/>
      <c r="L18" s="177"/>
      <c r="M18" s="178"/>
      <c r="N18" s="89"/>
      <c r="O18" s="89"/>
      <c r="P18" s="107"/>
      <c r="R18" s="180">
        <v>1000</v>
      </c>
      <c r="S18" s="89" t="s">
        <v>605</v>
      </c>
    </row>
    <row r="19" spans="2:19">
      <c r="B19" s="89">
        <v>17</v>
      </c>
      <c r="C19" s="47" t="s">
        <v>74</v>
      </c>
      <c r="D19" s="454" t="s">
        <v>1637</v>
      </c>
      <c r="E19" s="175"/>
      <c r="F19" s="176"/>
      <c r="G19" s="177">
        <v>300</v>
      </c>
      <c r="H19" s="177">
        <v>300</v>
      </c>
      <c r="I19" s="177">
        <v>300</v>
      </c>
      <c r="J19" s="177">
        <v>50</v>
      </c>
      <c r="K19" s="177">
        <v>75</v>
      </c>
      <c r="L19" s="177"/>
      <c r="M19" s="178">
        <v>0.48</v>
      </c>
      <c r="N19" s="89"/>
      <c r="O19" s="89"/>
      <c r="P19" s="107"/>
      <c r="R19" s="180">
        <v>300</v>
      </c>
      <c r="S19" s="89" t="s">
        <v>605</v>
      </c>
    </row>
    <row r="20" spans="2:19">
      <c r="B20" s="89">
        <v>18</v>
      </c>
      <c r="C20" s="47" t="s">
        <v>86</v>
      </c>
      <c r="D20" s="454" t="s">
        <v>1624</v>
      </c>
      <c r="E20" s="175"/>
      <c r="F20" s="176"/>
      <c r="G20" s="177">
        <v>20</v>
      </c>
      <c r="H20" s="177">
        <v>20</v>
      </c>
      <c r="I20" s="177"/>
      <c r="J20" s="177">
        <v>10</v>
      </c>
      <c r="K20" s="177"/>
      <c r="L20" s="177"/>
      <c r="M20" s="178">
        <v>7</v>
      </c>
      <c r="N20" s="89"/>
      <c r="O20" s="89"/>
      <c r="P20" s="107"/>
      <c r="R20" s="180">
        <v>7</v>
      </c>
      <c r="S20" s="89" t="s">
        <v>602</v>
      </c>
    </row>
    <row r="21" spans="2:19">
      <c r="B21" s="89">
        <v>19</v>
      </c>
      <c r="C21" s="47" t="s">
        <v>87</v>
      </c>
      <c r="D21" s="454" t="s">
        <v>1625</v>
      </c>
      <c r="E21" s="175"/>
      <c r="F21" s="176"/>
      <c r="G21" s="177">
        <v>20</v>
      </c>
      <c r="H21" s="177">
        <v>20</v>
      </c>
      <c r="I21" s="177"/>
      <c r="J21" s="177">
        <v>10</v>
      </c>
      <c r="K21" s="177">
        <v>70</v>
      </c>
      <c r="L21" s="177"/>
      <c r="M21" s="178">
        <v>1.2</v>
      </c>
      <c r="N21" s="89"/>
      <c r="O21" s="89"/>
      <c r="P21" s="107"/>
      <c r="R21" s="180">
        <v>1.2</v>
      </c>
      <c r="S21" s="89" t="s">
        <v>602</v>
      </c>
    </row>
    <row r="22" spans="2:19">
      <c r="B22" s="89">
        <v>20</v>
      </c>
      <c r="C22" s="47" t="s">
        <v>88</v>
      </c>
      <c r="D22" s="454" t="s">
        <v>1633</v>
      </c>
      <c r="E22" s="175"/>
      <c r="F22" s="176"/>
      <c r="G22" s="177">
        <v>20</v>
      </c>
      <c r="H22" s="177">
        <v>20</v>
      </c>
      <c r="I22" s="177"/>
      <c r="J22" s="177">
        <v>10</v>
      </c>
      <c r="K22" s="177"/>
      <c r="L22" s="177"/>
      <c r="M22" s="178"/>
      <c r="N22" s="89"/>
      <c r="O22" s="89"/>
      <c r="P22" s="107">
        <v>9</v>
      </c>
      <c r="R22" s="180">
        <v>9</v>
      </c>
      <c r="S22" s="89" t="s">
        <v>603</v>
      </c>
    </row>
    <row r="23" spans="2:19">
      <c r="B23" s="89">
        <v>21</v>
      </c>
      <c r="C23" s="47" t="s">
        <v>116</v>
      </c>
      <c r="D23" s="454" t="s">
        <v>1622</v>
      </c>
      <c r="E23" s="175"/>
      <c r="F23" s="176"/>
      <c r="G23" s="177">
        <v>9</v>
      </c>
      <c r="H23" s="177">
        <v>9</v>
      </c>
      <c r="I23" s="177"/>
      <c r="J23" s="177">
        <v>2.5</v>
      </c>
      <c r="K23" s="177"/>
      <c r="L23" s="177"/>
      <c r="M23" s="178"/>
      <c r="N23" s="89"/>
      <c r="O23" s="89"/>
      <c r="P23" s="107">
        <v>20</v>
      </c>
      <c r="R23" s="180">
        <v>20</v>
      </c>
      <c r="S23" s="89" t="s">
        <v>603</v>
      </c>
    </row>
    <row r="24" spans="2:19">
      <c r="B24" s="89">
        <v>22</v>
      </c>
      <c r="C24" s="47" t="s">
        <v>117</v>
      </c>
      <c r="D24" s="454" t="s">
        <v>1627</v>
      </c>
      <c r="E24" s="175"/>
      <c r="F24" s="176"/>
      <c r="G24" s="177">
        <v>9</v>
      </c>
      <c r="H24" s="177">
        <v>9</v>
      </c>
      <c r="I24" s="177"/>
      <c r="J24" s="177">
        <v>2.5</v>
      </c>
      <c r="K24" s="177"/>
      <c r="L24" s="177"/>
      <c r="M24" s="178">
        <v>1.7</v>
      </c>
      <c r="N24" s="89"/>
      <c r="O24" s="89"/>
      <c r="P24" s="107"/>
      <c r="R24" s="180">
        <v>1.7</v>
      </c>
      <c r="S24" s="89" t="s">
        <v>602</v>
      </c>
    </row>
    <row r="25" spans="2:19">
      <c r="B25" s="89">
        <v>23</v>
      </c>
      <c r="C25" s="47" t="s">
        <v>118</v>
      </c>
      <c r="D25" s="454" t="s">
        <v>1895</v>
      </c>
      <c r="E25" s="175"/>
      <c r="F25" s="176"/>
      <c r="G25" s="177">
        <v>2.4</v>
      </c>
      <c r="H25" s="177">
        <v>2.4</v>
      </c>
      <c r="I25" s="177"/>
      <c r="J25" s="177">
        <v>1</v>
      </c>
      <c r="K25" s="177"/>
      <c r="L25" s="177"/>
      <c r="M25" s="178">
        <v>3.2</v>
      </c>
      <c r="N25" s="89"/>
      <c r="O25" s="89"/>
      <c r="P25" s="107"/>
      <c r="R25" s="180">
        <v>2.4</v>
      </c>
      <c r="S25" s="89" t="s">
        <v>605</v>
      </c>
    </row>
    <row r="26" spans="2:19">
      <c r="B26" s="89">
        <v>24</v>
      </c>
      <c r="C26" s="47" t="s">
        <v>119</v>
      </c>
      <c r="D26" s="516" t="s">
        <v>1833</v>
      </c>
      <c r="E26" s="175"/>
      <c r="F26" s="176"/>
      <c r="G26" s="177">
        <v>1</v>
      </c>
      <c r="H26" s="177">
        <v>1</v>
      </c>
      <c r="I26" s="177"/>
      <c r="J26" s="177">
        <v>0.5</v>
      </c>
      <c r="K26" s="177">
        <v>1</v>
      </c>
      <c r="L26" s="177"/>
      <c r="M26" s="178">
        <v>9.7999999999999997E-3</v>
      </c>
      <c r="N26" s="89"/>
      <c r="O26" s="89"/>
      <c r="P26" s="107"/>
      <c r="R26" s="180">
        <v>1</v>
      </c>
      <c r="S26" s="89" t="s">
        <v>605</v>
      </c>
    </row>
    <row r="27" spans="2:19">
      <c r="B27" s="89">
        <v>25</v>
      </c>
      <c r="C27" s="47" t="s">
        <v>89</v>
      </c>
      <c r="D27" s="454" t="s">
        <v>1776</v>
      </c>
      <c r="E27" s="175"/>
      <c r="F27" s="176"/>
      <c r="G27" s="177"/>
      <c r="H27" s="177"/>
      <c r="I27" s="177"/>
      <c r="J27" s="177"/>
      <c r="K27" s="177"/>
      <c r="L27" s="177"/>
      <c r="M27" s="178">
        <v>930</v>
      </c>
      <c r="N27" s="89"/>
      <c r="O27" s="89">
        <v>0.05</v>
      </c>
      <c r="P27" s="107">
        <v>150.00000000000003</v>
      </c>
      <c r="R27" s="180">
        <v>930</v>
      </c>
      <c r="S27" s="89" t="s">
        <v>602</v>
      </c>
    </row>
    <row r="28" spans="2:19">
      <c r="B28" s="89">
        <v>26</v>
      </c>
      <c r="C28" s="47" t="s">
        <v>90</v>
      </c>
      <c r="D28" s="454" t="s">
        <v>1775</v>
      </c>
      <c r="E28" s="175"/>
      <c r="F28" s="176"/>
      <c r="G28" s="177"/>
      <c r="H28" s="177"/>
      <c r="I28" s="177"/>
      <c r="J28" s="177"/>
      <c r="K28" s="177"/>
      <c r="L28" s="177"/>
      <c r="M28" s="178">
        <v>930</v>
      </c>
      <c r="N28" s="89"/>
      <c r="O28" s="89">
        <v>0.05</v>
      </c>
      <c r="P28" s="107">
        <v>150.00000000000003</v>
      </c>
      <c r="R28" s="180">
        <v>930</v>
      </c>
      <c r="S28" s="89" t="s">
        <v>602</v>
      </c>
    </row>
    <row r="29" spans="2:19">
      <c r="B29" s="89">
        <v>27</v>
      </c>
      <c r="C29" s="47" t="s">
        <v>91</v>
      </c>
      <c r="D29" s="454" t="s">
        <v>1774</v>
      </c>
      <c r="E29" s="175"/>
      <c r="F29" s="176"/>
      <c r="G29" s="177"/>
      <c r="H29" s="177"/>
      <c r="I29" s="177"/>
      <c r="J29" s="177"/>
      <c r="K29" s="177"/>
      <c r="L29" s="177"/>
      <c r="M29" s="178">
        <v>1900</v>
      </c>
      <c r="N29" s="89"/>
      <c r="O29" s="89"/>
      <c r="P29" s="107"/>
      <c r="R29" s="180">
        <v>1900</v>
      </c>
      <c r="S29" s="89" t="s">
        <v>602</v>
      </c>
    </row>
    <row r="30" spans="2:19" ht="30">
      <c r="B30" s="89">
        <v>28</v>
      </c>
      <c r="C30" s="48" t="s">
        <v>348</v>
      </c>
      <c r="D30" s="516" t="s">
        <v>1919</v>
      </c>
      <c r="E30" s="184"/>
      <c r="F30" s="176"/>
      <c r="G30" s="177"/>
      <c r="H30" s="177"/>
      <c r="I30" s="177"/>
      <c r="J30" s="177">
        <v>200</v>
      </c>
      <c r="K30" s="177"/>
      <c r="L30" s="177"/>
      <c r="M30" s="178">
        <v>1500</v>
      </c>
      <c r="N30" s="89"/>
      <c r="O30" s="89"/>
      <c r="P30" s="107"/>
      <c r="R30" s="180">
        <v>930</v>
      </c>
      <c r="S30" s="185" t="s">
        <v>607</v>
      </c>
    </row>
    <row r="31" spans="2:19">
      <c r="B31" s="89">
        <v>29</v>
      </c>
      <c r="C31" s="47" t="s">
        <v>92</v>
      </c>
      <c r="D31" s="454" t="s">
        <v>1696</v>
      </c>
      <c r="E31" s="175"/>
      <c r="F31" s="176"/>
      <c r="G31" s="177"/>
      <c r="H31" s="177"/>
      <c r="I31" s="177"/>
      <c r="J31" s="177"/>
      <c r="K31" s="177"/>
      <c r="L31" s="177"/>
      <c r="M31" s="178">
        <v>360</v>
      </c>
      <c r="N31" s="89"/>
      <c r="O31" s="89"/>
      <c r="P31" s="107"/>
      <c r="R31" s="180">
        <v>360</v>
      </c>
      <c r="S31" s="89" t="s">
        <v>602</v>
      </c>
    </row>
    <row r="32" spans="2:19" s="101" customFormat="1">
      <c r="B32" s="89">
        <v>30</v>
      </c>
      <c r="C32" s="47" t="s">
        <v>93</v>
      </c>
      <c r="D32" s="454" t="s">
        <v>1697</v>
      </c>
      <c r="E32" s="186"/>
      <c r="F32" s="176"/>
      <c r="G32" s="177"/>
      <c r="H32" s="177"/>
      <c r="I32" s="177"/>
      <c r="J32" s="177"/>
      <c r="K32" s="177"/>
      <c r="L32" s="177"/>
      <c r="M32" s="89"/>
      <c r="N32" s="89"/>
      <c r="O32" s="89"/>
      <c r="P32" s="107"/>
      <c r="Q32" s="179"/>
      <c r="R32" s="187" t="s">
        <v>515</v>
      </c>
      <c r="S32" s="92" t="s">
        <v>515</v>
      </c>
    </row>
    <row r="33" spans="2:19">
      <c r="B33" s="89">
        <v>31</v>
      </c>
      <c r="C33" s="47" t="s">
        <v>94</v>
      </c>
      <c r="D33" s="454" t="s">
        <v>1698</v>
      </c>
      <c r="E33" s="175"/>
      <c r="F33" s="176"/>
      <c r="G33" s="177"/>
      <c r="H33" s="177"/>
      <c r="I33" s="177"/>
      <c r="J33" s="177"/>
      <c r="K33" s="177"/>
      <c r="L33" s="177"/>
      <c r="M33" s="178">
        <v>11</v>
      </c>
      <c r="N33" s="89"/>
      <c r="O33" s="89"/>
      <c r="P33" s="107"/>
      <c r="R33" s="180">
        <v>11</v>
      </c>
      <c r="S33" s="89" t="s">
        <v>602</v>
      </c>
    </row>
    <row r="34" spans="2:19">
      <c r="B34" s="89">
        <v>32</v>
      </c>
      <c r="C34" s="47" t="s">
        <v>95</v>
      </c>
      <c r="D34" s="454" t="s">
        <v>1668</v>
      </c>
      <c r="E34" s="175"/>
      <c r="F34" s="176"/>
      <c r="G34" s="177"/>
      <c r="H34" s="177"/>
      <c r="I34" s="177"/>
      <c r="J34" s="177"/>
      <c r="K34" s="177"/>
      <c r="L34" s="177"/>
      <c r="M34" s="178">
        <v>18</v>
      </c>
      <c r="N34" s="89"/>
      <c r="O34" s="89"/>
      <c r="P34" s="107"/>
      <c r="R34" s="180">
        <v>18</v>
      </c>
      <c r="S34" s="89" t="s">
        <v>602</v>
      </c>
    </row>
    <row r="35" spans="2:19">
      <c r="B35" s="89">
        <v>33</v>
      </c>
      <c r="C35" s="47" t="s">
        <v>96</v>
      </c>
      <c r="D35" s="454" t="s">
        <v>1663</v>
      </c>
      <c r="E35" s="175"/>
      <c r="F35" s="176"/>
      <c r="G35" s="177">
        <v>15</v>
      </c>
      <c r="H35" s="177">
        <v>15</v>
      </c>
      <c r="I35" s="177"/>
      <c r="J35" s="177">
        <v>100</v>
      </c>
      <c r="K35" s="177"/>
      <c r="L35" s="177"/>
      <c r="M35" s="178">
        <v>91</v>
      </c>
      <c r="N35" s="89"/>
      <c r="O35" s="89"/>
      <c r="P35" s="107"/>
      <c r="R35" s="180">
        <v>15</v>
      </c>
      <c r="S35" s="89" t="s">
        <v>605</v>
      </c>
    </row>
    <row r="36" spans="2:19">
      <c r="B36" s="89">
        <v>34</v>
      </c>
      <c r="C36" s="47" t="s">
        <v>97</v>
      </c>
      <c r="D36" s="454" t="s">
        <v>1671</v>
      </c>
      <c r="E36" s="186"/>
      <c r="F36" s="176"/>
      <c r="G36" s="177"/>
      <c r="H36" s="177"/>
      <c r="I36" s="177"/>
      <c r="J36" s="177">
        <v>100</v>
      </c>
      <c r="K36" s="177"/>
      <c r="L36" s="177"/>
      <c r="M36" s="89"/>
      <c r="N36" s="89"/>
      <c r="O36" s="89"/>
      <c r="P36" s="107"/>
      <c r="R36" s="187"/>
      <c r="S36" s="92"/>
    </row>
    <row r="37" spans="2:19">
      <c r="B37" s="89">
        <v>35</v>
      </c>
      <c r="C37" s="47" t="s">
        <v>98</v>
      </c>
      <c r="D37" s="454" t="s">
        <v>1675</v>
      </c>
      <c r="E37" s="186"/>
      <c r="F37" s="176"/>
      <c r="G37" s="177"/>
      <c r="H37" s="177"/>
      <c r="I37" s="177"/>
      <c r="J37" s="177">
        <v>100</v>
      </c>
      <c r="K37" s="177"/>
      <c r="L37" s="177"/>
      <c r="M37" s="89"/>
      <c r="N37" s="89"/>
      <c r="O37" s="89"/>
      <c r="P37" s="107"/>
      <c r="R37" s="187"/>
      <c r="S37" s="92"/>
    </row>
    <row r="38" spans="2:19">
      <c r="B38" s="89">
        <v>36</v>
      </c>
      <c r="C38" s="47" t="s">
        <v>99</v>
      </c>
      <c r="D38" s="454" t="s">
        <v>1652</v>
      </c>
      <c r="E38" s="175"/>
      <c r="F38" s="176"/>
      <c r="G38" s="177">
        <v>9</v>
      </c>
      <c r="H38" s="177">
        <v>9</v>
      </c>
      <c r="I38" s="177"/>
      <c r="J38" s="177">
        <v>30</v>
      </c>
      <c r="K38" s="177"/>
      <c r="L38" s="177"/>
      <c r="M38" s="178">
        <v>46</v>
      </c>
      <c r="N38" s="89"/>
      <c r="O38" s="89"/>
      <c r="P38" s="107"/>
      <c r="R38" s="180">
        <v>9</v>
      </c>
      <c r="S38" s="89" t="s">
        <v>605</v>
      </c>
    </row>
    <row r="39" spans="2:19">
      <c r="B39" s="89">
        <v>37</v>
      </c>
      <c r="C39" s="47" t="s">
        <v>100</v>
      </c>
      <c r="D39" s="454" t="s">
        <v>1658</v>
      </c>
      <c r="E39" s="186"/>
      <c r="F39" s="176"/>
      <c r="G39" s="177"/>
      <c r="H39" s="177"/>
      <c r="I39" s="177"/>
      <c r="J39" s="177">
        <v>30</v>
      </c>
      <c r="K39" s="177"/>
      <c r="L39" s="177"/>
      <c r="M39" s="89"/>
      <c r="N39" s="89"/>
      <c r="O39" s="89"/>
      <c r="P39" s="107"/>
      <c r="R39" s="187"/>
      <c r="S39" s="92"/>
    </row>
    <row r="40" spans="2:19">
      <c r="B40" s="89">
        <v>38</v>
      </c>
      <c r="C40" s="47" t="s">
        <v>101</v>
      </c>
      <c r="D40" s="454" t="s">
        <v>1667</v>
      </c>
      <c r="E40" s="186"/>
      <c r="F40" s="176"/>
      <c r="G40" s="177"/>
      <c r="H40" s="177"/>
      <c r="I40" s="177"/>
      <c r="J40" s="177">
        <v>30</v>
      </c>
      <c r="K40" s="177"/>
      <c r="L40" s="177"/>
      <c r="M40" s="89"/>
      <c r="N40" s="89"/>
      <c r="O40" s="89"/>
      <c r="P40" s="107"/>
      <c r="R40" s="187"/>
      <c r="S40" s="92"/>
    </row>
    <row r="41" spans="2:19">
      <c r="B41" s="89">
        <v>39</v>
      </c>
      <c r="C41" s="47" t="s">
        <v>102</v>
      </c>
      <c r="D41" s="454" t="s">
        <v>1669</v>
      </c>
      <c r="E41" s="186"/>
      <c r="F41" s="176"/>
      <c r="G41" s="177"/>
      <c r="H41" s="177"/>
      <c r="I41" s="177"/>
      <c r="J41" s="177">
        <v>30</v>
      </c>
      <c r="K41" s="177"/>
      <c r="L41" s="177"/>
      <c r="M41" s="89"/>
      <c r="N41" s="89"/>
      <c r="O41" s="89"/>
      <c r="P41" s="107"/>
      <c r="R41" s="187"/>
      <c r="S41" s="92"/>
    </row>
    <row r="42" spans="2:19">
      <c r="B42" s="89">
        <v>40</v>
      </c>
      <c r="C42" s="47" t="s">
        <v>103</v>
      </c>
      <c r="D42" s="454" t="s">
        <v>1643</v>
      </c>
      <c r="E42" s="186"/>
      <c r="F42" s="176"/>
      <c r="G42" s="177"/>
      <c r="H42" s="177"/>
      <c r="I42" s="177"/>
      <c r="J42" s="177">
        <v>10</v>
      </c>
      <c r="K42" s="177"/>
      <c r="L42" s="177"/>
      <c r="M42" s="89"/>
      <c r="N42" s="89"/>
      <c r="O42" s="89"/>
      <c r="P42" s="107"/>
      <c r="R42" s="187"/>
      <c r="S42" s="92"/>
    </row>
    <row r="43" spans="2:19">
      <c r="B43" s="89">
        <v>41</v>
      </c>
      <c r="C43" s="47" t="s">
        <v>104</v>
      </c>
      <c r="D43" s="454" t="s">
        <v>1644</v>
      </c>
      <c r="E43" s="186"/>
      <c r="F43" s="176"/>
      <c r="G43" s="177"/>
      <c r="H43" s="177"/>
      <c r="I43" s="177"/>
      <c r="J43" s="177">
        <v>10</v>
      </c>
      <c r="K43" s="177"/>
      <c r="L43" s="177"/>
      <c r="M43" s="89"/>
      <c r="N43" s="89"/>
      <c r="O43" s="89"/>
      <c r="P43" s="107"/>
      <c r="R43" s="187"/>
      <c r="S43" s="92"/>
    </row>
    <row r="44" spans="2:19">
      <c r="B44" s="89">
        <v>42</v>
      </c>
      <c r="C44" s="47" t="s">
        <v>105</v>
      </c>
      <c r="D44" s="454" t="s">
        <v>1648</v>
      </c>
      <c r="E44" s="175"/>
      <c r="F44" s="176"/>
      <c r="G44" s="177">
        <v>300</v>
      </c>
      <c r="H44" s="177">
        <v>300</v>
      </c>
      <c r="I44" s="177"/>
      <c r="J44" s="177">
        <v>10</v>
      </c>
      <c r="K44" s="177"/>
      <c r="L44" s="177"/>
      <c r="M44" s="178">
        <v>1200</v>
      </c>
      <c r="N44" s="89"/>
      <c r="O44" s="89"/>
      <c r="P44" s="107"/>
      <c r="R44" s="180">
        <v>300</v>
      </c>
      <c r="S44" s="89" t="s">
        <v>605</v>
      </c>
    </row>
    <row r="45" spans="2:19">
      <c r="B45" s="89">
        <v>43</v>
      </c>
      <c r="C45" s="47" t="s">
        <v>106</v>
      </c>
      <c r="D45" s="454" t="s">
        <v>1649</v>
      </c>
      <c r="E45" s="175"/>
      <c r="F45" s="176"/>
      <c r="G45" s="177">
        <v>200</v>
      </c>
      <c r="H45" s="177">
        <v>200</v>
      </c>
      <c r="I45" s="177">
        <v>200</v>
      </c>
      <c r="J45" s="177">
        <v>10</v>
      </c>
      <c r="K45" s="177"/>
      <c r="L45" s="177"/>
      <c r="M45" s="178">
        <v>4.0999999999999996</v>
      </c>
      <c r="N45" s="89"/>
      <c r="O45" s="89"/>
      <c r="P45" s="107"/>
      <c r="R45" s="180">
        <v>200</v>
      </c>
      <c r="S45" s="89" t="s">
        <v>605</v>
      </c>
    </row>
    <row r="46" spans="2:19">
      <c r="B46" s="89">
        <v>44</v>
      </c>
      <c r="C46" s="48" t="s">
        <v>107</v>
      </c>
      <c r="D46" s="454" t="s">
        <v>1666</v>
      </c>
      <c r="E46" s="186"/>
      <c r="F46" s="176"/>
      <c r="G46" s="177"/>
      <c r="H46" s="177"/>
      <c r="I46" s="177"/>
      <c r="J46" s="177">
        <v>10</v>
      </c>
      <c r="K46" s="177"/>
      <c r="L46" s="177"/>
      <c r="M46" s="89"/>
      <c r="N46" s="89"/>
      <c r="O46" s="89"/>
      <c r="P46" s="107"/>
      <c r="R46" s="187"/>
      <c r="S46" s="92"/>
    </row>
    <row r="47" spans="2:19">
      <c r="B47" s="89">
        <v>45</v>
      </c>
      <c r="C47" s="48" t="s">
        <v>108</v>
      </c>
      <c r="D47" s="454" t="s">
        <v>1640</v>
      </c>
      <c r="E47" s="186"/>
      <c r="F47" s="176"/>
      <c r="G47" s="177"/>
      <c r="H47" s="177"/>
      <c r="I47" s="177"/>
      <c r="J47" s="177">
        <v>10</v>
      </c>
      <c r="K47" s="177"/>
      <c r="L47" s="177"/>
      <c r="M47" s="89"/>
      <c r="N47" s="89"/>
      <c r="O47" s="89"/>
      <c r="P47" s="107"/>
      <c r="R47" s="187"/>
      <c r="S47" s="92"/>
    </row>
    <row r="48" spans="2:19">
      <c r="B48" s="89">
        <v>46</v>
      </c>
      <c r="C48" s="47" t="s">
        <v>109</v>
      </c>
      <c r="D48" s="454" t="s">
        <v>1641</v>
      </c>
      <c r="E48" s="175"/>
      <c r="F48" s="176"/>
      <c r="G48" s="177">
        <v>90</v>
      </c>
      <c r="H48" s="177">
        <v>90</v>
      </c>
      <c r="I48" s="177"/>
      <c r="J48" s="177">
        <v>10</v>
      </c>
      <c r="K48" s="177"/>
      <c r="L48" s="177"/>
      <c r="M48" s="178">
        <v>240</v>
      </c>
      <c r="N48" s="89"/>
      <c r="O48" s="89"/>
      <c r="P48" s="107"/>
      <c r="R48" s="180">
        <v>90</v>
      </c>
      <c r="S48" s="89" t="s">
        <v>605</v>
      </c>
    </row>
    <row r="49" spans="2:19">
      <c r="B49" s="89">
        <v>47</v>
      </c>
      <c r="C49" s="47" t="s">
        <v>350</v>
      </c>
      <c r="D49" s="454" t="s">
        <v>1642</v>
      </c>
      <c r="E49" s="186"/>
      <c r="F49" s="188"/>
      <c r="G49" s="149"/>
      <c r="H49" s="149"/>
      <c r="I49" s="149"/>
      <c r="J49" s="92">
        <v>10</v>
      </c>
      <c r="K49" s="149"/>
      <c r="L49" s="149"/>
      <c r="M49" s="149"/>
      <c r="N49" s="149"/>
      <c r="O49" s="149"/>
      <c r="P49" s="189"/>
      <c r="Q49" s="190"/>
      <c r="R49" s="187"/>
      <c r="S49" s="92"/>
    </row>
    <row r="50" spans="2:19">
      <c r="B50" s="89">
        <v>48</v>
      </c>
      <c r="C50" s="47" t="s">
        <v>68</v>
      </c>
      <c r="D50" s="454" t="s">
        <v>1766</v>
      </c>
      <c r="E50" s="181"/>
      <c r="F50" s="188"/>
      <c r="G50" s="149"/>
      <c r="H50" s="149"/>
      <c r="I50" s="149"/>
      <c r="J50" s="149"/>
      <c r="K50" s="149"/>
      <c r="L50" s="149"/>
      <c r="M50" s="178">
        <v>21000</v>
      </c>
      <c r="N50" s="149"/>
      <c r="O50" s="89"/>
      <c r="P50" s="107"/>
      <c r="R50" s="187">
        <v>21000</v>
      </c>
      <c r="S50" s="92" t="s">
        <v>602</v>
      </c>
    </row>
    <row r="51" spans="2:19">
      <c r="B51" s="89">
        <v>49</v>
      </c>
      <c r="C51" s="47" t="s">
        <v>70</v>
      </c>
      <c r="D51" s="454" t="s">
        <v>1777</v>
      </c>
      <c r="E51" s="175"/>
      <c r="F51" s="176"/>
      <c r="G51" s="177"/>
      <c r="H51" s="177"/>
      <c r="I51" s="177"/>
      <c r="J51" s="177"/>
      <c r="K51" s="177"/>
      <c r="L51" s="177"/>
      <c r="M51" s="178">
        <v>450</v>
      </c>
      <c r="N51" s="89"/>
      <c r="O51" s="89"/>
      <c r="P51" s="107"/>
      <c r="R51" s="180">
        <v>450</v>
      </c>
      <c r="S51" s="89" t="s">
        <v>602</v>
      </c>
    </row>
    <row r="52" spans="2:19">
      <c r="B52" s="89">
        <v>50</v>
      </c>
      <c r="C52" s="47" t="s">
        <v>186</v>
      </c>
      <c r="D52" s="454" t="s">
        <v>1686</v>
      </c>
      <c r="E52" s="175"/>
      <c r="F52" s="176"/>
      <c r="G52" s="177"/>
      <c r="H52" s="177"/>
      <c r="I52" s="177"/>
      <c r="J52" s="177"/>
      <c r="K52" s="177"/>
      <c r="L52" s="177"/>
      <c r="M52" s="178"/>
      <c r="N52" s="89"/>
      <c r="O52" s="89">
        <v>7.0000000000000007E-2</v>
      </c>
      <c r="P52" s="107">
        <v>210.00000000000003</v>
      </c>
      <c r="R52" s="180">
        <v>210.00000000000003</v>
      </c>
      <c r="S52" s="89" t="s">
        <v>603</v>
      </c>
    </row>
    <row r="53" spans="2:19">
      <c r="B53" s="89">
        <v>51</v>
      </c>
      <c r="C53" s="47" t="s">
        <v>188</v>
      </c>
      <c r="D53" s="454" t="s">
        <v>1700</v>
      </c>
      <c r="E53" s="175"/>
      <c r="F53" s="176"/>
      <c r="G53" s="177"/>
      <c r="H53" s="177"/>
      <c r="I53" s="177"/>
      <c r="J53" s="177"/>
      <c r="K53" s="177"/>
      <c r="L53" s="177"/>
      <c r="M53" s="178"/>
      <c r="N53" s="89"/>
      <c r="O53" s="89">
        <v>4.0000000000000001E-3</v>
      </c>
      <c r="P53" s="107">
        <v>12</v>
      </c>
      <c r="R53" s="180">
        <v>12</v>
      </c>
      <c r="S53" s="89" t="s">
        <v>603</v>
      </c>
    </row>
    <row r="54" spans="2:19">
      <c r="B54" s="89">
        <v>52</v>
      </c>
      <c r="C54" s="47" t="s">
        <v>75</v>
      </c>
      <c r="D54" s="454" t="s">
        <v>1621</v>
      </c>
      <c r="E54" s="175"/>
      <c r="F54" s="176"/>
      <c r="G54" s="177"/>
      <c r="H54" s="177"/>
      <c r="I54" s="177"/>
      <c r="J54" s="177">
        <v>10</v>
      </c>
      <c r="K54" s="177">
        <v>7</v>
      </c>
      <c r="L54" s="177"/>
      <c r="M54" s="178">
        <v>280</v>
      </c>
      <c r="N54" s="89"/>
      <c r="O54" s="89"/>
      <c r="P54" s="107"/>
      <c r="R54" s="180">
        <v>10</v>
      </c>
      <c r="S54" s="89" t="s">
        <v>601</v>
      </c>
    </row>
    <row r="55" spans="2:19">
      <c r="B55" s="89">
        <v>53</v>
      </c>
      <c r="C55" s="47" t="s">
        <v>65</v>
      </c>
      <c r="D55" s="454" t="s">
        <v>1755</v>
      </c>
      <c r="E55" s="175"/>
      <c r="F55" s="176"/>
      <c r="G55" s="177"/>
      <c r="H55" s="177"/>
      <c r="I55" s="177">
        <v>100</v>
      </c>
      <c r="J55" s="177">
        <v>630</v>
      </c>
      <c r="K55" s="177"/>
      <c r="L55" s="177"/>
      <c r="M55" s="178">
        <v>3.3</v>
      </c>
      <c r="N55" s="89"/>
      <c r="O55" s="89"/>
      <c r="P55" s="107"/>
      <c r="R55" s="180">
        <v>100</v>
      </c>
      <c r="S55" s="89" t="s">
        <v>599</v>
      </c>
    </row>
    <row r="56" spans="2:19">
      <c r="B56" s="89">
        <v>54</v>
      </c>
      <c r="C56" s="47" t="s">
        <v>71</v>
      </c>
      <c r="D56" s="454" t="s">
        <v>1789</v>
      </c>
      <c r="E56" s="175"/>
      <c r="F56" s="176"/>
      <c r="G56" s="177"/>
      <c r="H56" s="177"/>
      <c r="I56" s="177">
        <v>100</v>
      </c>
      <c r="J56" s="177"/>
      <c r="K56" s="177"/>
      <c r="L56" s="177"/>
      <c r="M56" s="178">
        <v>0.87</v>
      </c>
      <c r="N56" s="89"/>
      <c r="O56" s="89"/>
      <c r="P56" s="107"/>
      <c r="R56" s="180">
        <v>100</v>
      </c>
      <c r="S56" s="89" t="s">
        <v>599</v>
      </c>
    </row>
    <row r="57" spans="2:19">
      <c r="B57" s="89">
        <v>55</v>
      </c>
      <c r="C57" s="47" t="s">
        <v>112</v>
      </c>
      <c r="D57" s="454" t="s">
        <v>1780</v>
      </c>
      <c r="E57" s="175"/>
      <c r="F57" s="176"/>
      <c r="G57" s="177"/>
      <c r="H57" s="177"/>
      <c r="I57" s="177">
        <v>8</v>
      </c>
      <c r="J57" s="177">
        <v>5</v>
      </c>
      <c r="K57" s="177">
        <v>6</v>
      </c>
      <c r="L57" s="177"/>
      <c r="M57" s="178">
        <v>5.6</v>
      </c>
      <c r="N57" s="89"/>
      <c r="O57" s="89"/>
      <c r="P57" s="107"/>
      <c r="R57" s="180">
        <v>8</v>
      </c>
      <c r="S57" s="89" t="s">
        <v>599</v>
      </c>
    </row>
    <row r="58" spans="2:19">
      <c r="B58" s="89">
        <v>56</v>
      </c>
      <c r="C58" s="48" t="s">
        <v>351</v>
      </c>
      <c r="D58" s="454" t="s">
        <v>1690</v>
      </c>
      <c r="E58" s="186"/>
      <c r="F58" s="176"/>
      <c r="G58" s="177"/>
      <c r="H58" s="177"/>
      <c r="I58" s="177"/>
      <c r="J58" s="177"/>
      <c r="K58" s="177"/>
      <c r="L58" s="177"/>
      <c r="M58" s="89"/>
      <c r="N58" s="89"/>
      <c r="O58" s="89"/>
      <c r="P58" s="107"/>
      <c r="R58" s="187" t="s">
        <v>515</v>
      </c>
      <c r="S58" s="92" t="s">
        <v>515</v>
      </c>
    </row>
    <row r="59" spans="2:19">
      <c r="B59" s="89">
        <v>57</v>
      </c>
      <c r="C59" s="47" t="s">
        <v>185</v>
      </c>
      <c r="D59" s="454" t="s">
        <v>1748</v>
      </c>
      <c r="E59" s="175"/>
      <c r="F59" s="176"/>
      <c r="G59" s="177"/>
      <c r="H59" s="177"/>
      <c r="I59" s="177"/>
      <c r="J59" s="177"/>
      <c r="K59" s="177"/>
      <c r="L59" s="177"/>
      <c r="M59" s="178">
        <v>0.83</v>
      </c>
      <c r="N59" s="89"/>
      <c r="O59" s="89"/>
      <c r="P59" s="107"/>
      <c r="R59" s="180">
        <v>0.83</v>
      </c>
      <c r="S59" s="89" t="s">
        <v>602</v>
      </c>
    </row>
    <row r="60" spans="2:19">
      <c r="B60" s="89">
        <v>58</v>
      </c>
      <c r="C60" s="47" t="s">
        <v>64</v>
      </c>
      <c r="D60" s="454" t="s">
        <v>1754</v>
      </c>
      <c r="E60" s="175"/>
      <c r="F60" s="176"/>
      <c r="G60" s="177"/>
      <c r="H60" s="177"/>
      <c r="I60" s="177">
        <v>60</v>
      </c>
      <c r="J60" s="177"/>
      <c r="K60" s="177"/>
      <c r="L60" s="177"/>
      <c r="M60" s="178">
        <v>0.13</v>
      </c>
      <c r="N60" s="89"/>
      <c r="O60" s="89"/>
      <c r="P60" s="107"/>
      <c r="R60" s="180">
        <v>60</v>
      </c>
      <c r="S60" s="89" t="s">
        <v>599</v>
      </c>
    </row>
    <row r="61" spans="2:19">
      <c r="B61" s="89">
        <v>59</v>
      </c>
      <c r="C61" s="47" t="s">
        <v>213</v>
      </c>
      <c r="D61" s="454" t="s">
        <v>1736</v>
      </c>
      <c r="E61" s="175"/>
      <c r="F61" s="176"/>
      <c r="G61" s="177"/>
      <c r="H61" s="177"/>
      <c r="I61" s="177"/>
      <c r="J61" s="177"/>
      <c r="K61" s="177"/>
      <c r="L61" s="177"/>
      <c r="M61" s="178">
        <v>94</v>
      </c>
      <c r="N61" s="89">
        <v>40</v>
      </c>
      <c r="O61" s="89">
        <v>5.0000000000000001E-3</v>
      </c>
      <c r="P61" s="107">
        <v>30</v>
      </c>
      <c r="R61" s="180">
        <v>94</v>
      </c>
      <c r="S61" s="89" t="s">
        <v>602</v>
      </c>
    </row>
    <row r="62" spans="2:19">
      <c r="B62" s="89">
        <v>60</v>
      </c>
      <c r="C62" s="47" t="s">
        <v>214</v>
      </c>
      <c r="D62" s="454" t="s">
        <v>1750</v>
      </c>
      <c r="E62" s="175"/>
      <c r="F62" s="176">
        <v>1000</v>
      </c>
      <c r="G62" s="177"/>
      <c r="H62" s="177"/>
      <c r="I62" s="177">
        <v>2400</v>
      </c>
      <c r="J62" s="177"/>
      <c r="K62" s="177"/>
      <c r="L62" s="177"/>
      <c r="M62" s="178">
        <v>4000</v>
      </c>
      <c r="N62" s="89"/>
      <c r="O62" s="89">
        <v>1.7500000000000002E-2</v>
      </c>
      <c r="P62" s="107">
        <v>105.00000000000001</v>
      </c>
      <c r="R62" s="180">
        <v>1000</v>
      </c>
      <c r="S62" s="89" t="s">
        <v>598</v>
      </c>
    </row>
    <row r="63" spans="2:19">
      <c r="B63" s="89">
        <v>61</v>
      </c>
      <c r="C63" s="47" t="s">
        <v>215</v>
      </c>
      <c r="D63" s="454" t="s">
        <v>1923</v>
      </c>
      <c r="E63" s="175"/>
      <c r="F63" s="176"/>
      <c r="G63" s="177"/>
      <c r="H63" s="177"/>
      <c r="I63" s="177"/>
      <c r="J63" s="177"/>
      <c r="K63" s="177"/>
      <c r="L63" s="177"/>
      <c r="M63" s="178">
        <v>12000</v>
      </c>
      <c r="N63" s="89"/>
      <c r="O63" s="89">
        <v>0.6</v>
      </c>
      <c r="P63" s="107">
        <v>3600</v>
      </c>
      <c r="R63" s="180">
        <v>3600</v>
      </c>
      <c r="S63" s="89" t="s">
        <v>603</v>
      </c>
    </row>
    <row r="64" spans="2:19">
      <c r="B64" s="89">
        <v>62</v>
      </c>
      <c r="C64" s="47" t="s">
        <v>356</v>
      </c>
      <c r="D64" s="454" t="s">
        <v>1746</v>
      </c>
      <c r="E64" s="175"/>
      <c r="F64" s="176"/>
      <c r="G64" s="177"/>
      <c r="H64" s="177"/>
      <c r="I64" s="177"/>
      <c r="J64" s="177"/>
      <c r="K64" s="177"/>
      <c r="L64" s="177"/>
      <c r="M64" s="178">
        <v>300</v>
      </c>
      <c r="N64" s="89"/>
      <c r="O64" s="89"/>
      <c r="P64" s="107"/>
      <c r="R64" s="180">
        <v>300</v>
      </c>
      <c r="S64" s="89" t="s">
        <v>602</v>
      </c>
    </row>
    <row r="65" spans="2:19">
      <c r="B65" s="89">
        <v>63</v>
      </c>
      <c r="C65" s="47" t="s">
        <v>59</v>
      </c>
      <c r="D65" s="454" t="s">
        <v>1664</v>
      </c>
      <c r="E65" s="175"/>
      <c r="F65" s="176"/>
      <c r="G65" s="177"/>
      <c r="H65" s="177"/>
      <c r="I65" s="177"/>
      <c r="J65" s="177"/>
      <c r="K65" s="177"/>
      <c r="L65" s="177">
        <v>140</v>
      </c>
      <c r="M65" s="178">
        <v>240</v>
      </c>
      <c r="N65" s="89"/>
      <c r="O65" s="89"/>
      <c r="P65" s="107"/>
      <c r="R65" s="180">
        <v>140</v>
      </c>
      <c r="S65" s="89" t="s">
        <v>604</v>
      </c>
    </row>
    <row r="66" spans="2:19">
      <c r="B66" s="89">
        <v>64</v>
      </c>
      <c r="C66" s="47" t="s">
        <v>63</v>
      </c>
      <c r="D66" s="454" t="s">
        <v>1753</v>
      </c>
      <c r="E66" s="175"/>
      <c r="F66" s="176"/>
      <c r="G66" s="177"/>
      <c r="H66" s="177"/>
      <c r="I66" s="177"/>
      <c r="J66" s="177"/>
      <c r="K66" s="177"/>
      <c r="L66" s="177"/>
      <c r="M66" s="178">
        <v>62</v>
      </c>
      <c r="N66" s="89"/>
      <c r="O66" s="89"/>
      <c r="P66" s="107"/>
      <c r="R66" s="180">
        <v>62</v>
      </c>
      <c r="S66" s="89" t="s">
        <v>602</v>
      </c>
    </row>
    <row r="67" spans="2:19">
      <c r="B67" s="89">
        <v>65</v>
      </c>
      <c r="C67" s="47" t="s">
        <v>83</v>
      </c>
      <c r="D67" s="454" t="s">
        <v>522</v>
      </c>
      <c r="E67" s="175"/>
      <c r="F67" s="176"/>
      <c r="G67" s="177"/>
      <c r="H67" s="177"/>
      <c r="I67" s="177"/>
      <c r="J67" s="177">
        <v>30</v>
      </c>
      <c r="K67" s="177"/>
      <c r="L67" s="177"/>
      <c r="M67" s="178">
        <v>20</v>
      </c>
      <c r="N67" s="89"/>
      <c r="O67" s="89"/>
      <c r="P67" s="107"/>
      <c r="R67" s="180">
        <v>30</v>
      </c>
      <c r="S67" s="89" t="s">
        <v>601</v>
      </c>
    </row>
    <row r="68" spans="2:19">
      <c r="B68" s="89">
        <v>66</v>
      </c>
      <c r="C68" s="47" t="s">
        <v>120</v>
      </c>
      <c r="D68" s="454" t="s">
        <v>1829</v>
      </c>
      <c r="E68" s="175"/>
      <c r="F68" s="176"/>
      <c r="G68" s="177"/>
      <c r="H68" s="177"/>
      <c r="I68" s="177">
        <v>2600</v>
      </c>
      <c r="J68" s="177"/>
      <c r="K68" s="177"/>
      <c r="L68" s="177"/>
      <c r="M68" s="178">
        <v>0.43</v>
      </c>
      <c r="N68" s="89">
        <v>50</v>
      </c>
      <c r="O68" s="89"/>
      <c r="P68" s="107"/>
      <c r="R68" s="180">
        <v>2600</v>
      </c>
      <c r="S68" s="89" t="s">
        <v>599</v>
      </c>
    </row>
    <row r="69" spans="2:19">
      <c r="B69" s="89">
        <v>67</v>
      </c>
      <c r="C69" s="47" t="s">
        <v>121</v>
      </c>
      <c r="D69" s="454" t="s">
        <v>1713</v>
      </c>
      <c r="E69" s="175"/>
      <c r="F69" s="176"/>
      <c r="G69" s="177"/>
      <c r="H69" s="177"/>
      <c r="I69" s="177"/>
      <c r="J69" s="177"/>
      <c r="K69" s="177"/>
      <c r="L69" s="177"/>
      <c r="M69" s="178">
        <v>2.6</v>
      </c>
      <c r="N69" s="89"/>
      <c r="O69" s="89"/>
      <c r="P69" s="107"/>
      <c r="R69" s="180">
        <v>2.6</v>
      </c>
      <c r="S69" s="89" t="s">
        <v>602</v>
      </c>
    </row>
    <row r="70" spans="2:19" ht="25.15" customHeight="1">
      <c r="B70" s="89">
        <v>68</v>
      </c>
      <c r="C70" s="47" t="s">
        <v>357</v>
      </c>
      <c r="D70" s="454" t="s">
        <v>1800</v>
      </c>
      <c r="E70" s="191"/>
      <c r="F70" s="176"/>
      <c r="G70" s="177"/>
      <c r="H70" s="177"/>
      <c r="I70" s="177"/>
      <c r="J70" s="177"/>
      <c r="K70" s="177"/>
      <c r="L70" s="177"/>
      <c r="M70" s="178">
        <v>61</v>
      </c>
      <c r="N70" s="89"/>
      <c r="O70" s="89"/>
      <c r="P70" s="107"/>
      <c r="R70" s="180">
        <v>61</v>
      </c>
      <c r="S70" s="89" t="s">
        <v>602</v>
      </c>
    </row>
    <row r="71" spans="2:19">
      <c r="B71" s="89">
        <v>69</v>
      </c>
      <c r="C71" s="47" t="s">
        <v>216</v>
      </c>
      <c r="D71" s="454" t="s">
        <v>1734</v>
      </c>
      <c r="E71" s="191"/>
      <c r="F71" s="176"/>
      <c r="G71" s="177"/>
      <c r="H71" s="177"/>
      <c r="I71" s="177"/>
      <c r="J71" s="177"/>
      <c r="K71" s="177"/>
      <c r="L71" s="177"/>
      <c r="M71" s="89"/>
      <c r="N71" s="89"/>
      <c r="O71" s="89"/>
      <c r="P71" s="107"/>
      <c r="R71" s="180"/>
      <c r="S71" s="89"/>
    </row>
    <row r="72" spans="2:19">
      <c r="B72" s="89" t="s">
        <v>352</v>
      </c>
      <c r="C72" s="60" t="s">
        <v>358</v>
      </c>
      <c r="D72" s="454" t="s">
        <v>359</v>
      </c>
      <c r="E72" s="191"/>
      <c r="F72" s="176">
        <v>500</v>
      </c>
      <c r="G72" s="177"/>
      <c r="H72" s="177"/>
      <c r="I72" s="177"/>
      <c r="J72" s="177"/>
      <c r="K72" s="177"/>
      <c r="L72" s="177"/>
      <c r="M72" s="89"/>
      <c r="N72" s="89"/>
      <c r="O72" s="89"/>
      <c r="P72" s="107"/>
      <c r="R72" s="180">
        <v>500</v>
      </c>
      <c r="S72" s="89" t="s">
        <v>598</v>
      </c>
    </row>
    <row r="73" spans="2:19">
      <c r="B73" s="89">
        <v>70</v>
      </c>
      <c r="C73" s="47" t="s">
        <v>218</v>
      </c>
      <c r="D73" s="454" t="s">
        <v>1721</v>
      </c>
      <c r="E73" s="191"/>
      <c r="F73" s="176"/>
      <c r="G73" s="177"/>
      <c r="H73" s="177"/>
      <c r="I73" s="177"/>
      <c r="J73" s="177"/>
      <c r="K73" s="177"/>
      <c r="L73" s="177"/>
      <c r="M73" s="178"/>
      <c r="N73" s="89"/>
      <c r="O73" s="89"/>
      <c r="P73" s="107"/>
      <c r="R73" s="180"/>
      <c r="S73" s="89"/>
    </row>
    <row r="74" spans="2:19">
      <c r="B74" s="89" t="s">
        <v>526</v>
      </c>
      <c r="C74" s="60" t="s">
        <v>360</v>
      </c>
      <c r="D74" s="454" t="s">
        <v>1828</v>
      </c>
      <c r="E74" s="191"/>
      <c r="F74" s="176">
        <v>1500</v>
      </c>
      <c r="G74" s="177"/>
      <c r="H74" s="177"/>
      <c r="I74" s="177">
        <v>1500</v>
      </c>
      <c r="J74" s="177"/>
      <c r="K74" s="177">
        <v>4000</v>
      </c>
      <c r="L74" s="177"/>
      <c r="M74" s="178">
        <v>28</v>
      </c>
      <c r="N74" s="89"/>
      <c r="O74" s="89"/>
      <c r="P74" s="107"/>
      <c r="R74" s="180">
        <v>1500</v>
      </c>
      <c r="S74" s="89" t="s">
        <v>598</v>
      </c>
    </row>
    <row r="75" spans="2:19">
      <c r="B75" s="89">
        <v>71</v>
      </c>
      <c r="C75" s="47" t="s">
        <v>221</v>
      </c>
      <c r="D75" s="454" t="s">
        <v>1719</v>
      </c>
      <c r="E75" s="191"/>
      <c r="F75" s="176"/>
      <c r="G75" s="177"/>
      <c r="H75" s="177"/>
      <c r="I75" s="177"/>
      <c r="J75" s="177"/>
      <c r="K75" s="177"/>
      <c r="L75" s="177"/>
      <c r="M75" s="89"/>
      <c r="N75" s="89"/>
      <c r="O75" s="89"/>
      <c r="P75" s="107"/>
      <c r="R75" s="180"/>
      <c r="S75" s="89"/>
    </row>
    <row r="76" spans="2:19">
      <c r="B76" s="89" t="s">
        <v>529</v>
      </c>
      <c r="C76" s="60" t="s">
        <v>361</v>
      </c>
      <c r="D76" s="454" t="s">
        <v>1772</v>
      </c>
      <c r="E76" s="191"/>
      <c r="F76" s="176">
        <v>150000</v>
      </c>
      <c r="G76" s="177"/>
      <c r="H76" s="177"/>
      <c r="I76" s="177" t="s">
        <v>608</v>
      </c>
      <c r="J76" s="177"/>
      <c r="K76" s="177"/>
      <c r="L76" s="177"/>
      <c r="M76" s="89"/>
      <c r="N76" s="89"/>
      <c r="O76" s="89"/>
      <c r="P76" s="107"/>
      <c r="R76" s="180">
        <v>150000</v>
      </c>
      <c r="S76" s="89" t="s">
        <v>598</v>
      </c>
    </row>
    <row r="77" spans="2:19">
      <c r="B77" s="89">
        <v>72</v>
      </c>
      <c r="C77" s="47" t="s">
        <v>223</v>
      </c>
      <c r="D77" s="454" t="s">
        <v>1729</v>
      </c>
      <c r="E77" s="191"/>
      <c r="F77" s="176"/>
      <c r="G77" s="177"/>
      <c r="H77" s="177"/>
      <c r="I77" s="177"/>
      <c r="J77" s="177"/>
      <c r="K77" s="177"/>
      <c r="L77" s="177"/>
      <c r="M77" s="89"/>
      <c r="N77" s="89"/>
      <c r="O77" s="89"/>
      <c r="P77" s="107"/>
      <c r="R77" s="180"/>
      <c r="S77" s="89"/>
    </row>
    <row r="78" spans="2:19">
      <c r="B78" s="89" t="s">
        <v>532</v>
      </c>
      <c r="C78" s="60" t="s">
        <v>362</v>
      </c>
      <c r="D78" s="100" t="s">
        <v>458</v>
      </c>
      <c r="E78" s="191"/>
      <c r="F78" s="176">
        <v>250000</v>
      </c>
      <c r="G78" s="177"/>
      <c r="H78" s="177"/>
      <c r="I78" s="177"/>
      <c r="J78" s="177"/>
      <c r="K78" s="177"/>
      <c r="L78" s="177"/>
      <c r="M78" s="89"/>
      <c r="N78" s="89"/>
      <c r="O78" s="89"/>
      <c r="P78" s="107"/>
      <c r="R78" s="180">
        <v>250000</v>
      </c>
      <c r="S78" s="89" t="s">
        <v>598</v>
      </c>
    </row>
    <row r="79" spans="2:19">
      <c r="B79" s="89">
        <v>73</v>
      </c>
      <c r="C79" s="47" t="s">
        <v>225</v>
      </c>
      <c r="D79" s="454" t="s">
        <v>1723</v>
      </c>
      <c r="E79" s="192"/>
      <c r="F79" s="176"/>
      <c r="G79" s="177"/>
      <c r="H79" s="177"/>
      <c r="I79" s="177"/>
      <c r="J79" s="177"/>
      <c r="K79" s="177"/>
      <c r="L79" s="177"/>
      <c r="M79" s="89"/>
      <c r="N79" s="89"/>
      <c r="O79" s="89"/>
      <c r="P79" s="107"/>
      <c r="R79" s="187"/>
      <c r="S79" s="92"/>
    </row>
    <row r="80" spans="2:19">
      <c r="B80" s="89">
        <v>74</v>
      </c>
      <c r="C80" s="47" t="s">
        <v>363</v>
      </c>
      <c r="D80" s="454" t="s">
        <v>1871</v>
      </c>
      <c r="E80" s="191"/>
      <c r="F80" s="176">
        <v>50000</v>
      </c>
      <c r="G80" s="177"/>
      <c r="H80" s="177">
        <v>50000</v>
      </c>
      <c r="I80" s="177">
        <v>50000</v>
      </c>
      <c r="J80" s="177"/>
      <c r="K80" s="177">
        <v>10000</v>
      </c>
      <c r="L80" s="177"/>
      <c r="M80" s="178">
        <v>32000</v>
      </c>
      <c r="N80" s="89"/>
      <c r="O80" s="89"/>
      <c r="P80" s="107"/>
      <c r="R80" s="180">
        <v>50000</v>
      </c>
      <c r="S80" s="89" t="s">
        <v>598</v>
      </c>
    </row>
    <row r="81" spans="2:19">
      <c r="B81" s="89">
        <v>75</v>
      </c>
      <c r="C81" s="47" t="s">
        <v>364</v>
      </c>
      <c r="D81" s="454" t="s">
        <v>1872</v>
      </c>
      <c r="E81" s="191"/>
      <c r="F81" s="176">
        <v>100</v>
      </c>
      <c r="G81" s="177"/>
      <c r="H81" s="177"/>
      <c r="I81" s="177">
        <v>3000</v>
      </c>
      <c r="J81" s="177"/>
      <c r="K81" s="177">
        <v>1000</v>
      </c>
      <c r="L81" s="177"/>
      <c r="M81" s="178">
        <v>2000</v>
      </c>
      <c r="N81" s="89"/>
      <c r="O81" s="89"/>
      <c r="P81" s="107"/>
      <c r="R81" s="187">
        <v>100</v>
      </c>
      <c r="S81" s="89" t="s">
        <v>598</v>
      </c>
    </row>
    <row r="82" spans="2:19">
      <c r="B82" s="89">
        <v>76</v>
      </c>
      <c r="C82" s="95" t="s">
        <v>80</v>
      </c>
      <c r="D82" s="454" t="s">
        <v>1701</v>
      </c>
      <c r="E82" s="191"/>
      <c r="F82" s="176"/>
      <c r="G82" s="177"/>
      <c r="H82" s="177"/>
      <c r="I82" s="177"/>
      <c r="J82" s="177"/>
      <c r="K82" s="177"/>
      <c r="L82" s="177"/>
      <c r="M82" s="178">
        <v>410</v>
      </c>
      <c r="N82" s="89">
        <v>31000</v>
      </c>
      <c r="O82" s="89"/>
      <c r="P82" s="107"/>
      <c r="R82" s="180">
        <v>410</v>
      </c>
      <c r="S82" s="89" t="s">
        <v>602</v>
      </c>
    </row>
    <row r="83" spans="2:19">
      <c r="B83" s="89">
        <v>77</v>
      </c>
      <c r="C83" s="47" t="s">
        <v>81</v>
      </c>
      <c r="D83" s="454" t="s">
        <v>1858</v>
      </c>
      <c r="E83" s="191"/>
      <c r="F83" s="176"/>
      <c r="G83" s="177"/>
      <c r="H83" s="177"/>
      <c r="I83" s="177"/>
      <c r="J83" s="177"/>
      <c r="K83" s="177"/>
      <c r="L83" s="177"/>
      <c r="M83" s="178">
        <v>20000</v>
      </c>
      <c r="N83" s="89">
        <v>24000</v>
      </c>
      <c r="O83" s="89"/>
      <c r="P83" s="107"/>
      <c r="R83" s="180">
        <v>20000</v>
      </c>
      <c r="S83" s="89" t="s">
        <v>602</v>
      </c>
    </row>
    <row r="84" spans="2:19">
      <c r="B84" s="89">
        <v>78</v>
      </c>
      <c r="C84" s="47" t="s">
        <v>58</v>
      </c>
      <c r="D84" s="454" t="s">
        <v>1699</v>
      </c>
      <c r="E84" s="191"/>
      <c r="F84" s="176"/>
      <c r="G84" s="177"/>
      <c r="H84" s="177"/>
      <c r="I84" s="177"/>
      <c r="J84" s="177"/>
      <c r="K84" s="177"/>
      <c r="L84" s="177"/>
      <c r="M84" s="178">
        <v>5600</v>
      </c>
      <c r="N84" s="89">
        <v>6000</v>
      </c>
      <c r="O84" s="89"/>
      <c r="P84" s="107"/>
      <c r="R84" s="180">
        <v>5600</v>
      </c>
      <c r="S84" s="89" t="s">
        <v>602</v>
      </c>
    </row>
    <row r="85" spans="2:19">
      <c r="B85" s="89">
        <v>79</v>
      </c>
      <c r="C85" s="47" t="s">
        <v>61</v>
      </c>
      <c r="D85" s="454" t="s">
        <v>1715</v>
      </c>
      <c r="E85" s="191"/>
      <c r="F85" s="176"/>
      <c r="G85" s="177"/>
      <c r="H85" s="177"/>
      <c r="I85" s="177"/>
      <c r="J85" s="177"/>
      <c r="K85" s="177"/>
      <c r="L85" s="177"/>
      <c r="M85" s="178">
        <v>14000</v>
      </c>
      <c r="N85" s="89"/>
      <c r="O85" s="89"/>
      <c r="P85" s="107"/>
      <c r="R85" s="180">
        <v>14000</v>
      </c>
      <c r="S85" s="89" t="s">
        <v>602</v>
      </c>
    </row>
    <row r="86" spans="2:19">
      <c r="B86" s="89">
        <v>80</v>
      </c>
      <c r="C86" s="47" t="s">
        <v>189</v>
      </c>
      <c r="D86" s="454" t="s">
        <v>1911</v>
      </c>
      <c r="E86" s="191"/>
      <c r="F86" s="176">
        <v>0.1</v>
      </c>
      <c r="G86" s="177"/>
      <c r="H86" s="177"/>
      <c r="I86" s="177"/>
      <c r="J86" s="177"/>
      <c r="K86" s="177"/>
      <c r="L86" s="177"/>
      <c r="M86" s="178">
        <v>0.7</v>
      </c>
      <c r="N86" s="89"/>
      <c r="O86" s="89"/>
      <c r="P86" s="107"/>
      <c r="R86" s="180">
        <v>0.1</v>
      </c>
      <c r="S86" s="89" t="s">
        <v>598</v>
      </c>
    </row>
    <row r="87" spans="2:19">
      <c r="B87" s="89">
        <v>81</v>
      </c>
      <c r="C87" s="95" t="s">
        <v>191</v>
      </c>
      <c r="D87" s="454" t="s">
        <v>1651</v>
      </c>
      <c r="E87" s="191"/>
      <c r="F87" s="176"/>
      <c r="G87" s="177"/>
      <c r="H87" s="177"/>
      <c r="I87" s="177"/>
      <c r="J87" s="177"/>
      <c r="K87" s="177"/>
      <c r="L87" s="177"/>
      <c r="M87" s="178">
        <v>2.5</v>
      </c>
      <c r="N87" s="89"/>
      <c r="O87" s="89"/>
      <c r="P87" s="107"/>
      <c r="R87" s="180">
        <v>2.5</v>
      </c>
      <c r="S87" s="89" t="s">
        <v>602</v>
      </c>
    </row>
    <row r="88" spans="2:19">
      <c r="B88" s="89">
        <v>82</v>
      </c>
      <c r="C88" s="47" t="s">
        <v>192</v>
      </c>
      <c r="D88" s="454" t="s">
        <v>1838</v>
      </c>
      <c r="E88" s="191"/>
      <c r="F88" s="176"/>
      <c r="G88" s="177"/>
      <c r="H88" s="177"/>
      <c r="I88" s="177"/>
      <c r="J88" s="177"/>
      <c r="K88" s="177"/>
      <c r="L88" s="177"/>
      <c r="M88" s="178">
        <v>1000</v>
      </c>
      <c r="N88" s="89"/>
      <c r="O88" s="89">
        <v>0.05</v>
      </c>
      <c r="P88" s="107">
        <f>(0.05*60*0.2*1000)/2</f>
        <v>300.00000000000006</v>
      </c>
      <c r="R88" s="180">
        <v>300</v>
      </c>
      <c r="S88" s="89" t="s">
        <v>603</v>
      </c>
    </row>
    <row r="89" spans="2:19">
      <c r="B89" s="89">
        <v>83</v>
      </c>
      <c r="C89" s="47" t="s">
        <v>365</v>
      </c>
      <c r="D89" s="454" t="s">
        <v>1806</v>
      </c>
      <c r="E89" s="191"/>
      <c r="F89" s="176"/>
      <c r="G89" s="177"/>
      <c r="H89" s="177"/>
      <c r="I89" s="177"/>
      <c r="J89" s="177"/>
      <c r="K89" s="177"/>
      <c r="L89" s="177"/>
      <c r="M89" s="178">
        <v>310</v>
      </c>
      <c r="N89" s="89"/>
      <c r="O89" s="89"/>
      <c r="P89" s="107"/>
      <c r="R89" s="180">
        <v>310</v>
      </c>
      <c r="S89" s="89" t="s">
        <v>602</v>
      </c>
    </row>
    <row r="90" spans="2:19">
      <c r="B90" s="89">
        <v>84</v>
      </c>
      <c r="C90" s="95" t="s">
        <v>193</v>
      </c>
      <c r="D90" s="454" t="s">
        <v>1635</v>
      </c>
      <c r="E90" s="191"/>
      <c r="F90" s="176"/>
      <c r="G90" s="177"/>
      <c r="H90" s="177"/>
      <c r="I90" s="177"/>
      <c r="J90" s="177"/>
      <c r="K90" s="177"/>
      <c r="L90" s="177"/>
      <c r="M90" s="178">
        <v>590</v>
      </c>
      <c r="N90" s="89"/>
      <c r="O90" s="89"/>
      <c r="P90" s="107"/>
      <c r="R90" s="180">
        <v>590</v>
      </c>
      <c r="S90" s="89" t="s">
        <v>602</v>
      </c>
    </row>
    <row r="91" spans="2:19">
      <c r="B91" s="89">
        <v>85</v>
      </c>
      <c r="C91" s="47" t="s">
        <v>62</v>
      </c>
      <c r="D91" s="454" t="s">
        <v>1718</v>
      </c>
      <c r="E91" s="193"/>
      <c r="F91" s="176"/>
      <c r="G91" s="177"/>
      <c r="H91" s="177"/>
      <c r="I91" s="177"/>
      <c r="J91" s="177"/>
      <c r="K91" s="177"/>
      <c r="L91" s="177"/>
      <c r="M91" s="178">
        <v>130</v>
      </c>
      <c r="N91" s="89"/>
      <c r="O91" s="89"/>
      <c r="P91" s="107"/>
      <c r="R91" s="180">
        <v>130</v>
      </c>
      <c r="S91" s="89" t="s">
        <v>602</v>
      </c>
    </row>
    <row r="92" spans="2:19">
      <c r="B92" s="89">
        <v>86</v>
      </c>
      <c r="C92" s="48" t="s">
        <v>366</v>
      </c>
      <c r="D92" s="454" t="s">
        <v>1661</v>
      </c>
      <c r="E92" s="192"/>
      <c r="F92" s="176"/>
      <c r="G92" s="177"/>
      <c r="H92" s="177"/>
      <c r="I92" s="177"/>
      <c r="J92" s="177"/>
      <c r="K92" s="177"/>
      <c r="L92" s="177"/>
      <c r="M92" s="194">
        <v>39</v>
      </c>
      <c r="N92" s="89"/>
      <c r="O92" s="89"/>
      <c r="P92" s="107"/>
      <c r="R92" s="187">
        <v>39</v>
      </c>
      <c r="S92" s="92" t="s">
        <v>602</v>
      </c>
    </row>
    <row r="93" spans="2:19">
      <c r="B93" s="89">
        <v>87</v>
      </c>
      <c r="C93" s="48" t="s">
        <v>367</v>
      </c>
      <c r="D93" s="454" t="s">
        <v>1673</v>
      </c>
      <c r="E93" s="192"/>
      <c r="F93" s="176"/>
      <c r="G93" s="177"/>
      <c r="H93" s="177"/>
      <c r="I93" s="177"/>
      <c r="J93" s="177"/>
      <c r="K93" s="177"/>
      <c r="L93" s="177"/>
      <c r="M93" s="194">
        <v>39</v>
      </c>
      <c r="N93" s="89"/>
      <c r="O93" s="89"/>
      <c r="P93" s="107"/>
      <c r="R93" s="187">
        <v>39</v>
      </c>
      <c r="S93" s="92" t="s">
        <v>602</v>
      </c>
    </row>
    <row r="94" spans="2:19">
      <c r="B94" s="89">
        <v>88</v>
      </c>
      <c r="C94" s="47" t="s">
        <v>368</v>
      </c>
      <c r="D94" s="454" t="s">
        <v>1875</v>
      </c>
      <c r="E94" s="191"/>
      <c r="F94" s="176"/>
      <c r="G94" s="177"/>
      <c r="H94" s="177"/>
      <c r="I94" s="177"/>
      <c r="J94" s="177"/>
      <c r="K94" s="177"/>
      <c r="L94" s="177"/>
      <c r="M94" s="178">
        <v>2</v>
      </c>
      <c r="N94" s="89"/>
      <c r="O94" s="89"/>
      <c r="P94" s="107"/>
      <c r="R94" s="180">
        <v>2</v>
      </c>
      <c r="S94" s="89" t="s">
        <v>602</v>
      </c>
    </row>
    <row r="95" spans="2:19">
      <c r="B95" s="89">
        <v>89</v>
      </c>
      <c r="C95" s="47" t="s">
        <v>369</v>
      </c>
      <c r="D95" s="454" t="s">
        <v>1898</v>
      </c>
      <c r="E95" s="195"/>
      <c r="F95" s="176"/>
      <c r="G95" s="177"/>
      <c r="H95" s="177"/>
      <c r="I95" s="177"/>
      <c r="J95" s="177"/>
      <c r="K95" s="177"/>
      <c r="L95" s="177"/>
      <c r="M95" s="178">
        <v>19</v>
      </c>
      <c r="N95" s="89"/>
      <c r="O95" s="89"/>
      <c r="P95" s="107"/>
      <c r="R95" s="187">
        <v>19</v>
      </c>
      <c r="S95" s="89" t="s">
        <v>602</v>
      </c>
    </row>
    <row r="96" spans="2:19">
      <c r="B96" s="89">
        <v>90</v>
      </c>
      <c r="C96" s="47" t="s">
        <v>48</v>
      </c>
      <c r="D96" s="454" t="s">
        <v>1619</v>
      </c>
      <c r="E96" s="191"/>
      <c r="F96" s="176"/>
      <c r="G96" s="177"/>
      <c r="H96" s="177"/>
      <c r="I96" s="177"/>
      <c r="J96" s="177"/>
      <c r="K96" s="177"/>
      <c r="L96" s="177"/>
      <c r="M96" s="178">
        <v>7.5999999999999998E-2</v>
      </c>
      <c r="N96" s="89"/>
      <c r="O96" s="89"/>
      <c r="P96" s="107"/>
      <c r="R96" s="180">
        <v>7.5999999999999998E-2</v>
      </c>
      <c r="S96" s="89" t="s">
        <v>602</v>
      </c>
    </row>
    <row r="97" spans="2:19">
      <c r="B97" s="89">
        <v>91</v>
      </c>
      <c r="C97" s="47" t="s">
        <v>57</v>
      </c>
      <c r="D97" s="454" t="s">
        <v>1685</v>
      </c>
      <c r="E97" s="191"/>
      <c r="F97" s="176"/>
      <c r="G97" s="177"/>
      <c r="H97" s="177"/>
      <c r="I97" s="177"/>
      <c r="J97" s="177"/>
      <c r="K97" s="177"/>
      <c r="L97" s="177"/>
      <c r="M97" s="178">
        <v>2000</v>
      </c>
      <c r="N97" s="89">
        <v>5600</v>
      </c>
      <c r="O97" s="89"/>
      <c r="P97" s="107"/>
      <c r="R97" s="180">
        <v>2000</v>
      </c>
      <c r="S97" s="89" t="s">
        <v>602</v>
      </c>
    </row>
    <row r="98" spans="2:19">
      <c r="B98" s="89">
        <v>92</v>
      </c>
      <c r="C98" s="47" t="s">
        <v>370</v>
      </c>
      <c r="D98" s="454" t="s">
        <v>1630</v>
      </c>
      <c r="E98" s="193"/>
      <c r="F98" s="176"/>
      <c r="G98" s="177">
        <v>150</v>
      </c>
      <c r="H98" s="177">
        <v>150</v>
      </c>
      <c r="I98" s="177"/>
      <c r="J98" s="177"/>
      <c r="K98" s="177"/>
      <c r="L98" s="177">
        <v>330</v>
      </c>
      <c r="M98" s="178">
        <v>15</v>
      </c>
      <c r="N98" s="89"/>
      <c r="O98" s="89"/>
      <c r="P98" s="107"/>
      <c r="R98" s="180">
        <v>150</v>
      </c>
      <c r="S98" s="89" t="s">
        <v>605</v>
      </c>
    </row>
    <row r="99" spans="2:19">
      <c r="B99" s="89">
        <v>93</v>
      </c>
      <c r="C99" s="95" t="s">
        <v>371</v>
      </c>
      <c r="D99" s="454" t="s">
        <v>1684</v>
      </c>
      <c r="E99" s="193"/>
      <c r="F99" s="176"/>
      <c r="G99" s="177">
        <v>150</v>
      </c>
      <c r="H99" s="177">
        <v>150</v>
      </c>
      <c r="I99" s="177"/>
      <c r="J99" s="177"/>
      <c r="K99" s="177"/>
      <c r="L99" s="177">
        <v>330</v>
      </c>
      <c r="M99" s="178">
        <v>120</v>
      </c>
      <c r="N99" s="89"/>
      <c r="O99" s="89"/>
      <c r="P99" s="107"/>
      <c r="R99" s="180">
        <v>150</v>
      </c>
      <c r="S99" s="89" t="s">
        <v>605</v>
      </c>
    </row>
    <row r="100" spans="2:19">
      <c r="B100" s="89">
        <v>94</v>
      </c>
      <c r="C100" s="47" t="s">
        <v>372</v>
      </c>
      <c r="D100" s="454" t="s">
        <v>1913</v>
      </c>
      <c r="E100" s="193"/>
      <c r="F100" s="176"/>
      <c r="G100" s="177"/>
      <c r="H100" s="177"/>
      <c r="I100" s="177"/>
      <c r="J100" s="177"/>
      <c r="K100" s="177"/>
      <c r="L100" s="177">
        <v>260</v>
      </c>
      <c r="M100" s="178">
        <v>2000</v>
      </c>
      <c r="N100" s="89"/>
      <c r="O100" s="89"/>
      <c r="P100" s="107"/>
      <c r="R100" s="180">
        <v>260</v>
      </c>
      <c r="S100" s="89" t="s">
        <v>604</v>
      </c>
    </row>
    <row r="101" spans="2:19">
      <c r="B101" s="89">
        <v>95</v>
      </c>
      <c r="C101" s="47" t="s">
        <v>373</v>
      </c>
      <c r="D101" s="454" t="s">
        <v>1930</v>
      </c>
      <c r="E101" s="193"/>
      <c r="F101" s="176"/>
      <c r="G101" s="177"/>
      <c r="H101" s="177"/>
      <c r="I101" s="177"/>
      <c r="J101" s="177"/>
      <c r="K101" s="177"/>
      <c r="L101" s="177">
        <v>260</v>
      </c>
      <c r="M101" s="178">
        <v>690</v>
      </c>
      <c r="N101" s="89"/>
      <c r="O101" s="89"/>
      <c r="P101" s="107"/>
      <c r="R101" s="180">
        <v>260</v>
      </c>
      <c r="S101" s="89" t="s">
        <v>604</v>
      </c>
    </row>
    <row r="102" spans="2:19">
      <c r="B102" s="89">
        <v>96</v>
      </c>
      <c r="C102" s="47" t="s">
        <v>374</v>
      </c>
      <c r="D102" s="454" t="s">
        <v>1680</v>
      </c>
      <c r="E102" s="192"/>
      <c r="F102" s="176"/>
      <c r="G102" s="177"/>
      <c r="H102" s="177"/>
      <c r="I102" s="177"/>
      <c r="J102" s="177"/>
      <c r="K102" s="177"/>
      <c r="L102" s="177"/>
      <c r="M102" s="89"/>
      <c r="N102" s="89"/>
      <c r="O102" s="89"/>
      <c r="P102" s="107"/>
      <c r="R102" s="187" t="s">
        <v>515</v>
      </c>
      <c r="S102" s="92" t="s">
        <v>515</v>
      </c>
    </row>
    <row r="103" spans="2:19">
      <c r="B103" s="89">
        <v>97</v>
      </c>
      <c r="C103" s="95" t="s">
        <v>375</v>
      </c>
      <c r="D103" s="454" t="s">
        <v>1821</v>
      </c>
      <c r="E103" s="196"/>
      <c r="F103" s="176"/>
      <c r="G103" s="177"/>
      <c r="H103" s="177"/>
      <c r="I103" s="177"/>
      <c r="J103" s="177"/>
      <c r="K103" s="177"/>
      <c r="L103" s="177"/>
      <c r="M103" s="89"/>
      <c r="N103" s="89"/>
      <c r="O103" s="89"/>
      <c r="P103" s="107"/>
      <c r="R103" s="187" t="s">
        <v>515</v>
      </c>
      <c r="S103" s="92" t="s">
        <v>515</v>
      </c>
    </row>
    <row r="104" spans="2:19">
      <c r="B104" s="89">
        <v>98</v>
      </c>
      <c r="C104" s="47" t="s">
        <v>376</v>
      </c>
      <c r="D104" s="454" t="s">
        <v>1688</v>
      </c>
      <c r="E104" s="196"/>
      <c r="F104" s="176"/>
      <c r="G104" s="177"/>
      <c r="H104" s="177"/>
      <c r="I104" s="177"/>
      <c r="J104" s="177"/>
      <c r="K104" s="177"/>
      <c r="L104" s="177"/>
      <c r="M104" s="89"/>
      <c r="N104" s="89"/>
      <c r="O104" s="89"/>
      <c r="P104" s="107"/>
      <c r="R104" s="187" t="s">
        <v>515</v>
      </c>
      <c r="S104" s="92" t="s">
        <v>515</v>
      </c>
    </row>
    <row r="105" spans="2:19">
      <c r="B105" s="89">
        <v>99</v>
      </c>
      <c r="C105" s="47" t="s">
        <v>377</v>
      </c>
      <c r="D105" s="454" t="s">
        <v>1795</v>
      </c>
      <c r="E105" s="196"/>
      <c r="F105" s="176"/>
      <c r="G105" s="177"/>
      <c r="H105" s="177"/>
      <c r="I105" s="177"/>
      <c r="J105" s="177">
        <v>5</v>
      </c>
      <c r="K105" s="177"/>
      <c r="L105" s="177"/>
      <c r="M105" s="89"/>
      <c r="N105" s="89"/>
      <c r="O105" s="89"/>
      <c r="P105" s="107"/>
      <c r="R105" s="187"/>
      <c r="S105" s="92"/>
    </row>
    <row r="106" spans="2:19">
      <c r="B106" s="89">
        <v>100</v>
      </c>
      <c r="C106" s="48" t="s">
        <v>378</v>
      </c>
      <c r="D106" s="454" t="s">
        <v>1711</v>
      </c>
      <c r="E106" s="175"/>
      <c r="F106" s="176"/>
      <c r="G106" s="177"/>
      <c r="H106" s="177"/>
      <c r="I106" s="177"/>
      <c r="J106" s="177"/>
      <c r="K106" s="177"/>
      <c r="L106" s="177">
        <v>260</v>
      </c>
      <c r="M106" s="178">
        <v>660</v>
      </c>
      <c r="N106" s="89"/>
      <c r="O106" s="89"/>
      <c r="P106" s="107"/>
      <c r="R106" s="180">
        <v>260</v>
      </c>
      <c r="S106" s="89" t="s">
        <v>604</v>
      </c>
    </row>
    <row r="107" spans="2:19">
      <c r="B107" s="89">
        <v>101</v>
      </c>
      <c r="C107" s="47" t="s">
        <v>379</v>
      </c>
      <c r="D107" s="454" t="s">
        <v>1870</v>
      </c>
      <c r="E107" s="175"/>
      <c r="F107" s="176"/>
      <c r="G107" s="177"/>
      <c r="H107" s="177"/>
      <c r="I107" s="177"/>
      <c r="J107" s="177"/>
      <c r="K107" s="177"/>
      <c r="L107" s="177"/>
      <c r="M107" s="178">
        <v>1000</v>
      </c>
      <c r="N107" s="89"/>
      <c r="O107" s="89"/>
      <c r="P107" s="107"/>
      <c r="R107" s="180">
        <v>1000</v>
      </c>
      <c r="S107" s="89" t="s">
        <v>602</v>
      </c>
    </row>
    <row r="108" spans="2:19">
      <c r="B108" s="89">
        <v>102</v>
      </c>
      <c r="C108" s="47" t="s">
        <v>113</v>
      </c>
      <c r="D108" s="454" t="s">
        <v>1758</v>
      </c>
      <c r="E108" s="175"/>
      <c r="F108" s="176"/>
      <c r="G108" s="177"/>
      <c r="H108" s="177"/>
      <c r="I108" s="177"/>
      <c r="J108" s="177">
        <v>5</v>
      </c>
      <c r="K108" s="177"/>
      <c r="L108" s="177"/>
      <c r="M108" s="178">
        <v>16</v>
      </c>
      <c r="N108" s="89"/>
      <c r="O108" s="89"/>
      <c r="P108" s="107"/>
      <c r="R108" s="180">
        <v>16</v>
      </c>
      <c r="S108" s="89" t="s">
        <v>602</v>
      </c>
    </row>
    <row r="109" spans="2:19">
      <c r="B109" s="89">
        <v>103</v>
      </c>
      <c r="C109" s="47" t="s">
        <v>114</v>
      </c>
      <c r="D109" s="454" t="s">
        <v>1793</v>
      </c>
      <c r="E109" s="175"/>
      <c r="F109" s="176"/>
      <c r="G109" s="177"/>
      <c r="H109" s="177"/>
      <c r="I109" s="177"/>
      <c r="J109" s="177">
        <v>5</v>
      </c>
      <c r="K109" s="177"/>
      <c r="L109" s="177"/>
      <c r="M109" s="178">
        <v>15000</v>
      </c>
      <c r="N109" s="89"/>
      <c r="O109" s="89">
        <v>0.8</v>
      </c>
      <c r="P109" s="107">
        <v>4800</v>
      </c>
      <c r="R109" s="180">
        <v>15000</v>
      </c>
      <c r="S109" s="89" t="s">
        <v>602</v>
      </c>
    </row>
    <row r="110" spans="2:19">
      <c r="B110" s="89">
        <v>104</v>
      </c>
      <c r="C110" s="47" t="s">
        <v>115</v>
      </c>
      <c r="D110" s="454" t="s">
        <v>1802</v>
      </c>
      <c r="E110" s="175"/>
      <c r="F110" s="176"/>
      <c r="G110" s="177"/>
      <c r="H110" s="177"/>
      <c r="I110" s="177"/>
      <c r="J110" s="177">
        <v>5</v>
      </c>
      <c r="K110" s="177"/>
      <c r="L110" s="177"/>
      <c r="M110" s="178">
        <v>900</v>
      </c>
      <c r="N110" s="89"/>
      <c r="O110" s="89"/>
      <c r="P110" s="107"/>
      <c r="R110" s="180">
        <v>900</v>
      </c>
      <c r="S110" s="89" t="s">
        <v>602</v>
      </c>
    </row>
    <row r="111" spans="2:19">
      <c r="B111" s="89">
        <v>105</v>
      </c>
      <c r="C111" s="47" t="s">
        <v>380</v>
      </c>
      <c r="D111" s="454" t="s">
        <v>381</v>
      </c>
      <c r="E111" s="175"/>
      <c r="F111" s="176">
        <v>0.1</v>
      </c>
      <c r="G111" s="177"/>
      <c r="H111" s="177"/>
      <c r="I111" s="177"/>
      <c r="J111" s="177"/>
      <c r="K111" s="177"/>
      <c r="L111" s="177"/>
      <c r="M111" s="178"/>
      <c r="N111" s="89"/>
      <c r="O111" s="89"/>
      <c r="P111" s="107"/>
      <c r="R111" s="180">
        <v>0.1</v>
      </c>
      <c r="S111" s="89" t="s">
        <v>598</v>
      </c>
    </row>
    <row r="112" spans="2:19">
      <c r="B112" s="89">
        <v>106</v>
      </c>
      <c r="C112" s="47" t="s">
        <v>382</v>
      </c>
      <c r="D112" s="454" t="s">
        <v>1788</v>
      </c>
      <c r="E112" s="181"/>
      <c r="F112" s="176"/>
      <c r="G112" s="177"/>
      <c r="H112" s="177"/>
      <c r="I112" s="177"/>
      <c r="J112" s="177"/>
      <c r="K112" s="177"/>
      <c r="L112" s="177"/>
      <c r="M112" s="178">
        <v>7.9</v>
      </c>
      <c r="N112" s="89"/>
      <c r="O112" s="89"/>
      <c r="P112" s="107"/>
      <c r="R112" s="187">
        <v>7.9</v>
      </c>
      <c r="S112" s="89" t="s">
        <v>602</v>
      </c>
    </row>
    <row r="113" spans="2:19">
      <c r="B113" s="89">
        <v>107</v>
      </c>
      <c r="C113" s="47" t="s">
        <v>77</v>
      </c>
      <c r="D113" s="454" t="s">
        <v>1812</v>
      </c>
      <c r="E113" s="175"/>
      <c r="F113" s="176"/>
      <c r="G113" s="177"/>
      <c r="H113" s="177"/>
      <c r="I113" s="177"/>
      <c r="J113" s="177"/>
      <c r="K113" s="177"/>
      <c r="L113" s="177">
        <v>160</v>
      </c>
      <c r="M113" s="178">
        <v>810</v>
      </c>
      <c r="N113" s="89"/>
      <c r="O113" s="89"/>
      <c r="P113" s="107"/>
      <c r="R113" s="180">
        <v>160</v>
      </c>
      <c r="S113" s="89" t="s">
        <v>604</v>
      </c>
    </row>
    <row r="114" spans="2:19">
      <c r="B114" s="89">
        <v>108</v>
      </c>
      <c r="C114" s="47" t="s">
        <v>51</v>
      </c>
      <c r="D114" s="454" t="s">
        <v>50</v>
      </c>
      <c r="E114" s="175"/>
      <c r="F114" s="176"/>
      <c r="G114" s="177"/>
      <c r="H114" s="177"/>
      <c r="I114" s="177"/>
      <c r="J114" s="177"/>
      <c r="K114" s="177"/>
      <c r="L114" s="177">
        <v>5.0000000000000001E-3</v>
      </c>
      <c r="M114" s="178">
        <v>7.5000000000000002E-4</v>
      </c>
      <c r="N114" s="89"/>
      <c r="O114" s="89"/>
      <c r="P114" s="107"/>
      <c r="R114" s="180">
        <v>5.0000000000000001E-3</v>
      </c>
      <c r="S114" s="89" t="s">
        <v>604</v>
      </c>
    </row>
    <row r="115" spans="2:19">
      <c r="B115" s="89">
        <v>109</v>
      </c>
      <c r="C115" s="47" t="s">
        <v>383</v>
      </c>
      <c r="D115" s="454" t="s">
        <v>1676</v>
      </c>
      <c r="E115" s="175"/>
      <c r="F115" s="176"/>
      <c r="G115" s="177"/>
      <c r="H115" s="177"/>
      <c r="I115" s="177"/>
      <c r="J115" s="177"/>
      <c r="K115" s="177"/>
      <c r="L115" s="177"/>
      <c r="M115" s="178">
        <v>250</v>
      </c>
      <c r="N115" s="89"/>
      <c r="O115" s="89"/>
      <c r="P115" s="107"/>
      <c r="R115" s="197">
        <v>250</v>
      </c>
      <c r="S115" s="89" t="s">
        <v>602</v>
      </c>
    </row>
    <row r="116" spans="2:19">
      <c r="B116" s="89">
        <v>110</v>
      </c>
      <c r="C116" s="47" t="s">
        <v>53</v>
      </c>
      <c r="D116" s="454" t="s">
        <v>52</v>
      </c>
      <c r="E116" s="175"/>
      <c r="F116" s="176">
        <v>0.1</v>
      </c>
      <c r="G116" s="177"/>
      <c r="H116" s="177"/>
      <c r="I116" s="177">
        <v>1</v>
      </c>
      <c r="J116" s="177"/>
      <c r="K116" s="177">
        <v>0.2</v>
      </c>
      <c r="L116" s="177"/>
      <c r="M116" s="178">
        <v>3.3E-4</v>
      </c>
      <c r="N116" s="89"/>
      <c r="O116" s="89"/>
      <c r="P116" s="107"/>
      <c r="R116" s="180">
        <v>0.1</v>
      </c>
      <c r="S116" s="89" t="s">
        <v>598</v>
      </c>
    </row>
    <row r="117" spans="2:19">
      <c r="B117" s="89">
        <v>111</v>
      </c>
      <c r="C117" s="47" t="s">
        <v>69</v>
      </c>
      <c r="D117" s="454" t="s">
        <v>1767</v>
      </c>
      <c r="E117" s="175"/>
      <c r="F117" s="176"/>
      <c r="G117" s="177"/>
      <c r="H117" s="177"/>
      <c r="I117" s="177"/>
      <c r="J117" s="177"/>
      <c r="K117" s="177"/>
      <c r="L117" s="177"/>
      <c r="M117" s="178">
        <v>190</v>
      </c>
      <c r="N117" s="89"/>
      <c r="O117" s="89"/>
      <c r="P117" s="107"/>
      <c r="R117" s="180">
        <v>190</v>
      </c>
      <c r="S117" s="89" t="s">
        <v>602</v>
      </c>
    </row>
    <row r="118" spans="2:19">
      <c r="B118" s="89">
        <v>112</v>
      </c>
      <c r="C118" s="47" t="s">
        <v>384</v>
      </c>
      <c r="D118" s="454" t="s">
        <v>1747</v>
      </c>
      <c r="E118" s="186"/>
      <c r="F118" s="176"/>
      <c r="G118" s="177"/>
      <c r="H118" s="177"/>
      <c r="I118" s="177"/>
      <c r="J118" s="177"/>
      <c r="K118" s="177"/>
      <c r="L118" s="177"/>
      <c r="M118" s="89"/>
      <c r="N118" s="89"/>
      <c r="O118" s="89"/>
      <c r="P118" s="107"/>
      <c r="R118" s="187" t="s">
        <v>515</v>
      </c>
      <c r="S118" s="92" t="s">
        <v>515</v>
      </c>
    </row>
    <row r="119" spans="2:19">
      <c r="B119" s="89">
        <v>113</v>
      </c>
      <c r="C119" s="47" t="s">
        <v>82</v>
      </c>
      <c r="D119" s="454" t="s">
        <v>1881</v>
      </c>
      <c r="E119" s="175"/>
      <c r="F119" s="176"/>
      <c r="G119" s="177"/>
      <c r="H119" s="177"/>
      <c r="I119" s="177"/>
      <c r="J119" s="177"/>
      <c r="K119" s="177"/>
      <c r="L119" s="177"/>
      <c r="M119" s="178">
        <v>0.27</v>
      </c>
      <c r="N119" s="89"/>
      <c r="O119" s="89"/>
      <c r="P119" s="107"/>
      <c r="R119" s="180">
        <v>0.27</v>
      </c>
      <c r="S119" s="89" t="s">
        <v>602</v>
      </c>
    </row>
    <row r="120" spans="2:19">
      <c r="B120" s="89">
        <v>114</v>
      </c>
      <c r="C120" s="47" t="s">
        <v>78</v>
      </c>
      <c r="D120" s="454" t="s">
        <v>1834</v>
      </c>
      <c r="E120" s="175"/>
      <c r="F120" s="176"/>
      <c r="G120" s="177"/>
      <c r="H120" s="177"/>
      <c r="I120" s="177">
        <v>0.6</v>
      </c>
      <c r="J120" s="177"/>
      <c r="K120" s="177"/>
      <c r="L120" s="177"/>
      <c r="M120" s="178">
        <v>0.14000000000000001</v>
      </c>
      <c r="N120" s="89"/>
      <c r="O120" s="89"/>
      <c r="P120" s="107"/>
      <c r="R120" s="180">
        <v>0.6</v>
      </c>
      <c r="S120" s="89" t="s">
        <v>599</v>
      </c>
    </row>
    <row r="121" spans="2:19">
      <c r="B121" s="89">
        <v>115</v>
      </c>
      <c r="C121" s="47" t="s">
        <v>385</v>
      </c>
      <c r="D121" s="454" t="s">
        <v>1647</v>
      </c>
      <c r="E121" s="175"/>
      <c r="F121" s="176"/>
      <c r="G121" s="177"/>
      <c r="H121" s="177"/>
      <c r="I121" s="177"/>
      <c r="J121" s="177"/>
      <c r="K121" s="177"/>
      <c r="L121" s="177"/>
      <c r="M121" s="178">
        <v>65</v>
      </c>
      <c r="N121" s="89"/>
      <c r="O121" s="89"/>
      <c r="P121" s="107"/>
      <c r="R121" s="180">
        <v>65</v>
      </c>
      <c r="S121" s="89" t="s">
        <v>602</v>
      </c>
    </row>
    <row r="122" spans="2:19">
      <c r="B122" s="89">
        <v>116</v>
      </c>
      <c r="C122" s="47" t="s">
        <v>85</v>
      </c>
      <c r="D122" s="454" t="s">
        <v>1929</v>
      </c>
      <c r="E122" s="175"/>
      <c r="F122" s="176"/>
      <c r="G122" s="177"/>
      <c r="H122" s="177"/>
      <c r="I122" s="177"/>
      <c r="J122" s="177"/>
      <c r="K122" s="177"/>
      <c r="L122" s="177"/>
      <c r="M122" s="178"/>
      <c r="N122" s="89"/>
      <c r="O122" s="89">
        <v>3.0000000000000001E-3</v>
      </c>
      <c r="P122" s="107">
        <f>(0.003*60*0.2*1000)/2</f>
        <v>18</v>
      </c>
      <c r="R122" s="180">
        <v>18</v>
      </c>
      <c r="S122" s="89" t="s">
        <v>603</v>
      </c>
    </row>
    <row r="123" spans="2:19">
      <c r="B123" s="89">
        <v>117</v>
      </c>
      <c r="C123" s="47" t="s">
        <v>386</v>
      </c>
      <c r="D123" s="454" t="s">
        <v>1703</v>
      </c>
      <c r="E123" s="186"/>
      <c r="F123" s="176"/>
      <c r="G123" s="177"/>
      <c r="H123" s="177"/>
      <c r="I123" s="177"/>
      <c r="J123" s="177"/>
      <c r="K123" s="177"/>
      <c r="L123" s="177"/>
      <c r="M123" s="89"/>
      <c r="N123" s="89"/>
      <c r="O123" s="89"/>
      <c r="P123" s="107"/>
      <c r="R123" s="187" t="s">
        <v>515</v>
      </c>
      <c r="S123" s="92" t="s">
        <v>515</v>
      </c>
    </row>
    <row r="124" spans="2:19">
      <c r="B124" s="89">
        <v>118</v>
      </c>
      <c r="C124" s="47" t="s">
        <v>387</v>
      </c>
      <c r="D124" s="454" t="s">
        <v>1731</v>
      </c>
      <c r="E124" s="175"/>
      <c r="F124" s="176"/>
      <c r="G124" s="177"/>
      <c r="H124" s="177"/>
      <c r="I124" s="177"/>
      <c r="J124" s="177"/>
      <c r="K124" s="177"/>
      <c r="L124" s="177"/>
      <c r="M124" s="178">
        <v>780</v>
      </c>
      <c r="N124" s="89"/>
      <c r="O124" s="89"/>
      <c r="P124" s="107"/>
      <c r="R124" s="180">
        <v>780</v>
      </c>
      <c r="S124" s="89" t="s">
        <v>602</v>
      </c>
    </row>
    <row r="125" spans="2:19">
      <c r="B125" s="89">
        <v>119</v>
      </c>
      <c r="C125" s="47" t="s">
        <v>388</v>
      </c>
      <c r="D125" s="454" t="s">
        <v>1692</v>
      </c>
      <c r="E125" s="186"/>
      <c r="F125" s="176"/>
      <c r="G125" s="177"/>
      <c r="H125" s="177"/>
      <c r="I125" s="177"/>
      <c r="J125" s="177"/>
      <c r="K125" s="177"/>
      <c r="L125" s="177"/>
      <c r="M125" s="89"/>
      <c r="N125" s="89"/>
      <c r="O125" s="89"/>
      <c r="P125" s="107"/>
      <c r="R125" s="187" t="s">
        <v>515</v>
      </c>
      <c r="S125" s="92" t="s">
        <v>515</v>
      </c>
    </row>
    <row r="126" spans="2:19">
      <c r="B126" s="89">
        <v>120</v>
      </c>
      <c r="C126" s="47" t="s">
        <v>389</v>
      </c>
      <c r="D126" s="454" t="s">
        <v>1691</v>
      </c>
      <c r="E126" s="186"/>
      <c r="F126" s="176"/>
      <c r="G126" s="177"/>
      <c r="H126" s="177"/>
      <c r="I126" s="177"/>
      <c r="J126" s="177"/>
      <c r="K126" s="177"/>
      <c r="L126" s="177"/>
      <c r="M126" s="89"/>
      <c r="N126" s="89"/>
      <c r="O126" s="89"/>
      <c r="P126" s="107"/>
      <c r="R126" s="187" t="s">
        <v>515</v>
      </c>
      <c r="S126" s="92" t="s">
        <v>515</v>
      </c>
    </row>
    <row r="127" spans="2:19">
      <c r="B127" s="89">
        <v>121</v>
      </c>
      <c r="C127" s="47" t="s">
        <v>390</v>
      </c>
      <c r="D127" s="454" t="s">
        <v>1704</v>
      </c>
      <c r="E127" s="186"/>
      <c r="F127" s="176"/>
      <c r="G127" s="177"/>
      <c r="H127" s="177"/>
      <c r="I127" s="177"/>
      <c r="J127" s="177"/>
      <c r="K127" s="177"/>
      <c r="L127" s="177"/>
      <c r="M127" s="89"/>
      <c r="N127" s="89"/>
      <c r="O127" s="89"/>
      <c r="P127" s="107"/>
      <c r="R127" s="187" t="s">
        <v>515</v>
      </c>
      <c r="S127" s="92" t="s">
        <v>515</v>
      </c>
    </row>
    <row r="128" spans="2:19">
      <c r="B128" s="89">
        <v>122</v>
      </c>
      <c r="C128" s="47" t="s">
        <v>137</v>
      </c>
      <c r="D128" s="454" t="s">
        <v>1689</v>
      </c>
      <c r="E128" s="193"/>
      <c r="F128" s="176"/>
      <c r="G128" s="177"/>
      <c r="H128" s="177"/>
      <c r="I128" s="177"/>
      <c r="J128" s="177"/>
      <c r="K128" s="177" t="s">
        <v>609</v>
      </c>
      <c r="L128" s="177"/>
      <c r="M128" s="178">
        <v>1.1999999999999999E-7</v>
      </c>
      <c r="N128" s="178">
        <v>9.9999999999999995E-7</v>
      </c>
      <c r="O128" s="89"/>
      <c r="P128" s="107"/>
      <c r="R128" s="180" t="s">
        <v>609</v>
      </c>
      <c r="S128" s="89" t="s">
        <v>610</v>
      </c>
    </row>
    <row r="129" spans="2:19">
      <c r="B129" s="89">
        <v>123</v>
      </c>
      <c r="C129" s="47" t="s">
        <v>391</v>
      </c>
      <c r="D129" s="454" t="s">
        <v>392</v>
      </c>
      <c r="E129" s="193"/>
      <c r="F129" s="176">
        <v>0.1</v>
      </c>
      <c r="G129" s="177"/>
      <c r="H129" s="177"/>
      <c r="I129" s="177"/>
      <c r="J129" s="177"/>
      <c r="K129" s="177"/>
      <c r="L129" s="177"/>
      <c r="M129" s="178">
        <v>1800</v>
      </c>
      <c r="N129" s="89"/>
      <c r="O129" s="89"/>
      <c r="P129" s="107"/>
      <c r="R129" s="180">
        <v>0.1</v>
      </c>
      <c r="S129" s="89" t="s">
        <v>598</v>
      </c>
    </row>
    <row r="130" spans="2:19">
      <c r="B130" s="89">
        <v>124</v>
      </c>
      <c r="C130" s="47" t="s">
        <v>393</v>
      </c>
      <c r="D130" s="454" t="s">
        <v>1814</v>
      </c>
      <c r="E130" s="198"/>
      <c r="F130" s="176"/>
      <c r="G130" s="177"/>
      <c r="H130" s="177"/>
      <c r="I130" s="177"/>
      <c r="J130" s="177"/>
      <c r="K130" s="177"/>
      <c r="L130" s="177"/>
      <c r="M130" s="178"/>
      <c r="N130" s="89">
        <v>0.02</v>
      </c>
      <c r="O130" s="89"/>
      <c r="P130" s="107"/>
      <c r="R130" s="187">
        <v>0.02</v>
      </c>
      <c r="S130" s="92" t="s">
        <v>601</v>
      </c>
    </row>
    <row r="131" spans="2:19">
      <c r="B131" s="89">
        <v>125</v>
      </c>
      <c r="C131" s="48" t="s">
        <v>394</v>
      </c>
      <c r="D131" s="454" t="s">
        <v>1656</v>
      </c>
      <c r="E131" s="186"/>
      <c r="F131" s="176"/>
      <c r="G131" s="177"/>
      <c r="H131" s="177"/>
      <c r="I131" s="177"/>
      <c r="J131" s="177">
        <v>30</v>
      </c>
      <c r="K131" s="177"/>
      <c r="L131" s="177"/>
      <c r="M131" s="89"/>
      <c r="N131" s="89"/>
      <c r="O131" s="89"/>
      <c r="P131" s="107"/>
      <c r="R131" s="187"/>
      <c r="S131" s="92"/>
    </row>
    <row r="132" spans="2:19">
      <c r="B132" s="89">
        <v>126</v>
      </c>
      <c r="C132" s="48" t="s">
        <v>395</v>
      </c>
      <c r="D132" s="454" t="s">
        <v>1710</v>
      </c>
      <c r="E132" s="186"/>
      <c r="F132" s="176"/>
      <c r="G132" s="177"/>
      <c r="H132" s="177"/>
      <c r="I132" s="177"/>
      <c r="J132" s="177"/>
      <c r="K132" s="177"/>
      <c r="L132" s="177"/>
      <c r="M132" s="194">
        <v>1400</v>
      </c>
      <c r="N132" s="89">
        <v>1</v>
      </c>
      <c r="O132" s="89"/>
      <c r="P132" s="107"/>
      <c r="R132" s="187">
        <v>1400</v>
      </c>
      <c r="S132" s="92" t="s">
        <v>602</v>
      </c>
    </row>
    <row r="133" spans="2:19">
      <c r="B133" s="89">
        <v>127</v>
      </c>
      <c r="C133" s="48" t="s">
        <v>396</v>
      </c>
      <c r="D133" s="454" t="s">
        <v>1752</v>
      </c>
      <c r="E133" s="175"/>
      <c r="F133" s="176"/>
      <c r="G133" s="177"/>
      <c r="H133" s="177"/>
      <c r="I133" s="177">
        <v>2000</v>
      </c>
      <c r="J133" s="177"/>
      <c r="K133" s="177"/>
      <c r="L133" s="177"/>
      <c r="M133" s="178"/>
      <c r="N133" s="89"/>
      <c r="O133" s="89"/>
      <c r="P133" s="107"/>
      <c r="R133" s="180">
        <v>2000</v>
      </c>
      <c r="S133" s="89" t="s">
        <v>599</v>
      </c>
    </row>
    <row r="134" spans="2:19">
      <c r="B134" s="89">
        <v>128</v>
      </c>
      <c r="C134" s="47" t="s">
        <v>139</v>
      </c>
      <c r="D134" s="454" t="s">
        <v>542</v>
      </c>
      <c r="E134" s="175"/>
      <c r="F134" s="176">
        <v>0.1</v>
      </c>
      <c r="G134" s="177">
        <v>0.2</v>
      </c>
      <c r="H134" s="177">
        <v>0.1</v>
      </c>
      <c r="I134" s="177">
        <v>0.2</v>
      </c>
      <c r="J134" s="177">
        <v>0.2</v>
      </c>
      <c r="K134" s="177">
        <v>2</v>
      </c>
      <c r="L134" s="177"/>
      <c r="M134" s="178">
        <v>0.02</v>
      </c>
      <c r="N134" s="89"/>
      <c r="O134" s="89"/>
      <c r="P134" s="107"/>
      <c r="R134" s="180">
        <v>0.1</v>
      </c>
      <c r="S134" s="89" t="s">
        <v>598</v>
      </c>
    </row>
    <row r="135" spans="2:19">
      <c r="B135" s="89">
        <v>129</v>
      </c>
      <c r="C135" s="48" t="s">
        <v>397</v>
      </c>
      <c r="D135" s="522" t="s">
        <v>398</v>
      </c>
      <c r="E135" s="175"/>
      <c r="F135" s="176"/>
      <c r="G135" s="177"/>
      <c r="H135" s="177"/>
      <c r="I135" s="177"/>
      <c r="J135" s="177"/>
      <c r="K135" s="177"/>
      <c r="L135" s="177"/>
      <c r="M135" s="178"/>
      <c r="N135" s="89"/>
      <c r="O135" s="89"/>
      <c r="P135" s="107"/>
      <c r="R135" s="180" t="s">
        <v>541</v>
      </c>
      <c r="S135" s="89" t="s">
        <v>541</v>
      </c>
    </row>
    <row r="136" spans="2:19">
      <c r="B136" s="89">
        <v>130</v>
      </c>
      <c r="C136" s="47" t="s">
        <v>55</v>
      </c>
      <c r="D136" s="454" t="s">
        <v>54</v>
      </c>
      <c r="E136" s="175"/>
      <c r="F136" s="176"/>
      <c r="G136" s="177"/>
      <c r="H136" s="177"/>
      <c r="I136" s="177">
        <v>40</v>
      </c>
      <c r="J136" s="177"/>
      <c r="K136" s="177">
        <v>5</v>
      </c>
      <c r="L136" s="177"/>
      <c r="M136" s="178">
        <v>0.44</v>
      </c>
      <c r="N136" s="89"/>
      <c r="O136" s="89"/>
      <c r="P136" s="107"/>
      <c r="R136" s="180">
        <v>40</v>
      </c>
      <c r="S136" s="89" t="s">
        <v>599</v>
      </c>
    </row>
    <row r="137" spans="2:19">
      <c r="B137" s="89">
        <v>131</v>
      </c>
      <c r="C137" s="47" t="s">
        <v>142</v>
      </c>
      <c r="D137" s="454" t="s">
        <v>543</v>
      </c>
      <c r="E137" s="175"/>
      <c r="F137" s="176">
        <v>0.03</v>
      </c>
      <c r="G137" s="177">
        <v>0.03</v>
      </c>
      <c r="H137" s="177">
        <v>0.03</v>
      </c>
      <c r="I137" s="177">
        <v>0.03</v>
      </c>
      <c r="J137" s="177">
        <v>0.1</v>
      </c>
      <c r="K137" s="177"/>
      <c r="L137" s="177"/>
      <c r="M137" s="178">
        <v>1.8E-3</v>
      </c>
      <c r="N137" s="89"/>
      <c r="O137" s="89"/>
      <c r="P137" s="107"/>
      <c r="R137" s="180">
        <v>0.03</v>
      </c>
      <c r="S137" s="89" t="s">
        <v>598</v>
      </c>
    </row>
    <row r="138" spans="2:19">
      <c r="B138" s="89">
        <v>132</v>
      </c>
      <c r="C138" s="48" t="s">
        <v>399</v>
      </c>
      <c r="D138" s="454" t="s">
        <v>1705</v>
      </c>
      <c r="E138" s="186"/>
      <c r="F138" s="176"/>
      <c r="G138" s="177"/>
      <c r="H138" s="177"/>
      <c r="I138" s="177"/>
      <c r="J138" s="177"/>
      <c r="K138" s="177"/>
      <c r="L138" s="177"/>
      <c r="M138" s="89"/>
      <c r="N138" s="89"/>
      <c r="O138" s="89"/>
      <c r="P138" s="107"/>
      <c r="R138" s="187" t="s">
        <v>515</v>
      </c>
      <c r="S138" s="92" t="s">
        <v>515</v>
      </c>
    </row>
    <row r="139" spans="2:19">
      <c r="B139" s="89">
        <v>133</v>
      </c>
      <c r="C139" s="47" t="s">
        <v>140</v>
      </c>
      <c r="D139" s="454" t="s">
        <v>1817</v>
      </c>
      <c r="E139" s="175"/>
      <c r="F139" s="176">
        <v>0.03</v>
      </c>
      <c r="G139" s="177"/>
      <c r="H139" s="177"/>
      <c r="I139" s="177"/>
      <c r="J139" s="177">
        <v>3</v>
      </c>
      <c r="K139" s="177">
        <v>0.2</v>
      </c>
      <c r="L139" s="177"/>
      <c r="M139" s="178">
        <v>1.4E-3</v>
      </c>
      <c r="N139" s="89"/>
      <c r="O139" s="89"/>
      <c r="P139" s="107"/>
      <c r="R139" s="180">
        <v>0.03</v>
      </c>
      <c r="S139" s="89" t="s">
        <v>598</v>
      </c>
    </row>
    <row r="140" spans="2:19">
      <c r="B140" s="89">
        <v>134</v>
      </c>
      <c r="C140" s="48" t="s">
        <v>400</v>
      </c>
      <c r="D140" s="454" t="s">
        <v>1679</v>
      </c>
      <c r="E140" s="186"/>
      <c r="F140" s="176"/>
      <c r="G140" s="177"/>
      <c r="H140" s="177"/>
      <c r="I140" s="177"/>
      <c r="J140" s="177"/>
      <c r="K140" s="177"/>
      <c r="L140" s="177"/>
      <c r="M140" s="89"/>
      <c r="N140" s="89"/>
      <c r="O140" s="89"/>
      <c r="P140" s="107"/>
      <c r="R140" s="187" t="s">
        <v>515</v>
      </c>
      <c r="S140" s="92" t="s">
        <v>515</v>
      </c>
    </row>
    <row r="141" spans="2:19" ht="30">
      <c r="B141" s="89">
        <v>135</v>
      </c>
      <c r="C141" s="107" t="s">
        <v>401</v>
      </c>
      <c r="D141" s="454" t="s">
        <v>1841</v>
      </c>
      <c r="E141" s="186"/>
      <c r="F141" s="176"/>
      <c r="G141" s="177"/>
      <c r="H141" s="177"/>
      <c r="I141" s="177"/>
      <c r="J141" s="177"/>
      <c r="K141" s="177"/>
      <c r="L141" s="177"/>
      <c r="M141" s="89"/>
      <c r="N141" s="89"/>
      <c r="O141" s="89"/>
      <c r="P141" s="107"/>
      <c r="R141" s="187" t="s">
        <v>515</v>
      </c>
      <c r="S141" s="92" t="s">
        <v>515</v>
      </c>
    </row>
    <row r="142" spans="2:19">
      <c r="B142" s="89">
        <v>136</v>
      </c>
      <c r="C142" s="47" t="s">
        <v>141</v>
      </c>
      <c r="D142" s="454" t="s">
        <v>1845</v>
      </c>
      <c r="E142" s="175"/>
      <c r="F142" s="176">
        <v>0.1</v>
      </c>
      <c r="G142" s="177">
        <v>2</v>
      </c>
      <c r="H142" s="177">
        <v>0.1</v>
      </c>
      <c r="I142" s="177">
        <v>2</v>
      </c>
      <c r="J142" s="177"/>
      <c r="K142" s="177">
        <v>0.2</v>
      </c>
      <c r="L142" s="177"/>
      <c r="M142" s="178">
        <v>4.2000000000000003E-2</v>
      </c>
      <c r="N142" s="89"/>
      <c r="O142" s="89"/>
      <c r="P142" s="107"/>
      <c r="R142" s="180">
        <v>0.1</v>
      </c>
      <c r="S142" s="89" t="s">
        <v>598</v>
      </c>
    </row>
    <row r="143" spans="2:19">
      <c r="B143" s="89">
        <v>137</v>
      </c>
      <c r="C143" s="89" t="s">
        <v>402</v>
      </c>
      <c r="D143" s="454" t="s">
        <v>1672</v>
      </c>
      <c r="E143" s="186"/>
      <c r="F143" s="176"/>
      <c r="G143" s="177"/>
      <c r="H143" s="177"/>
      <c r="I143" s="177"/>
      <c r="J143" s="177"/>
      <c r="K143" s="177"/>
      <c r="L143" s="177"/>
      <c r="M143" s="89"/>
      <c r="N143" s="89"/>
      <c r="O143" s="89"/>
      <c r="P143" s="107"/>
      <c r="R143" s="187" t="s">
        <v>515</v>
      </c>
      <c r="S143" s="92" t="s">
        <v>515</v>
      </c>
    </row>
    <row r="144" spans="2:19">
      <c r="B144" s="89">
        <v>138</v>
      </c>
      <c r="C144" s="89" t="s">
        <v>403</v>
      </c>
      <c r="D144" s="454" t="s">
        <v>1868</v>
      </c>
      <c r="E144" s="186"/>
      <c r="F144" s="176"/>
      <c r="G144" s="177"/>
      <c r="H144" s="177"/>
      <c r="I144" s="177"/>
      <c r="J144" s="177"/>
      <c r="K144" s="177"/>
      <c r="L144" s="177"/>
      <c r="M144" s="89"/>
      <c r="N144" s="89"/>
      <c r="O144" s="89"/>
      <c r="P144" s="107"/>
      <c r="R144" s="187" t="s">
        <v>515</v>
      </c>
      <c r="S144" s="92" t="s">
        <v>515</v>
      </c>
    </row>
    <row r="145" spans="2:19">
      <c r="B145" s="89">
        <v>139</v>
      </c>
      <c r="C145" s="89" t="s">
        <v>404</v>
      </c>
      <c r="D145" s="454" t="s">
        <v>1665</v>
      </c>
      <c r="E145" s="186"/>
      <c r="F145" s="176"/>
      <c r="G145" s="177"/>
      <c r="H145" s="177"/>
      <c r="I145" s="177"/>
      <c r="J145" s="177"/>
      <c r="K145" s="177"/>
      <c r="L145" s="177"/>
      <c r="M145" s="89"/>
      <c r="N145" s="89"/>
      <c r="O145" s="89"/>
      <c r="P145" s="107"/>
      <c r="R145" s="187" t="s">
        <v>515</v>
      </c>
      <c r="S145" s="92" t="s">
        <v>515</v>
      </c>
    </row>
    <row r="146" spans="2:19">
      <c r="B146" s="89">
        <v>140</v>
      </c>
      <c r="C146" s="89" t="s">
        <v>405</v>
      </c>
      <c r="D146" s="454" t="s">
        <v>1878</v>
      </c>
      <c r="E146" s="186"/>
      <c r="F146" s="176"/>
      <c r="G146" s="177"/>
      <c r="H146" s="177"/>
      <c r="I146" s="177"/>
      <c r="J146" s="177"/>
      <c r="K146" s="177"/>
      <c r="L146" s="177"/>
      <c r="M146" s="89"/>
      <c r="N146" s="89"/>
      <c r="O146" s="89"/>
      <c r="P146" s="107"/>
      <c r="R146" s="187" t="s">
        <v>515</v>
      </c>
      <c r="S146" s="92" t="s">
        <v>515</v>
      </c>
    </row>
    <row r="147" spans="2:19">
      <c r="B147" s="89">
        <v>141</v>
      </c>
      <c r="C147" s="89" t="s">
        <v>406</v>
      </c>
      <c r="D147" s="454" t="s">
        <v>1901</v>
      </c>
      <c r="E147" s="186"/>
      <c r="F147" s="176"/>
      <c r="G147" s="177"/>
      <c r="H147" s="177"/>
      <c r="I147" s="177"/>
      <c r="J147" s="177"/>
      <c r="K147" s="177"/>
      <c r="L147" s="177"/>
      <c r="M147" s="89"/>
      <c r="N147" s="89"/>
      <c r="O147" s="89"/>
      <c r="P147" s="107"/>
      <c r="R147" s="187" t="s">
        <v>515</v>
      </c>
      <c r="S147" s="92" t="s">
        <v>515</v>
      </c>
    </row>
    <row r="148" spans="2:19">
      <c r="B148" s="89">
        <v>142</v>
      </c>
      <c r="C148" s="89" t="s">
        <v>407</v>
      </c>
      <c r="D148" s="454" t="s">
        <v>1903</v>
      </c>
      <c r="E148" s="186"/>
      <c r="F148" s="176"/>
      <c r="G148" s="177"/>
      <c r="H148" s="177"/>
      <c r="I148" s="177"/>
      <c r="J148" s="177"/>
      <c r="K148" s="177"/>
      <c r="L148" s="177"/>
      <c r="M148" s="89"/>
      <c r="N148" s="89"/>
      <c r="O148" s="89"/>
      <c r="P148" s="107"/>
      <c r="R148" s="187" t="s">
        <v>515</v>
      </c>
      <c r="S148" s="92" t="s">
        <v>515</v>
      </c>
    </row>
    <row r="149" spans="2:19">
      <c r="B149" s="89">
        <v>143</v>
      </c>
      <c r="C149" s="47" t="s">
        <v>210</v>
      </c>
      <c r="D149" s="454" t="s">
        <v>1931</v>
      </c>
      <c r="E149" s="175"/>
      <c r="F149" s="176"/>
      <c r="G149" s="177"/>
      <c r="H149" s="177"/>
      <c r="I149" s="177"/>
      <c r="J149" s="177"/>
      <c r="K149" s="177">
        <v>2</v>
      </c>
      <c r="L149" s="177"/>
      <c r="M149" s="178">
        <v>0.2</v>
      </c>
      <c r="N149" s="89">
        <v>7</v>
      </c>
      <c r="O149" s="89" t="s">
        <v>611</v>
      </c>
      <c r="P149" s="107" t="s">
        <v>515</v>
      </c>
      <c r="R149" s="180">
        <v>2</v>
      </c>
      <c r="S149" s="89" t="s">
        <v>610</v>
      </c>
    </row>
    <row r="150" spans="2:19">
      <c r="B150" s="89">
        <v>144</v>
      </c>
      <c r="C150" s="48" t="s">
        <v>397</v>
      </c>
      <c r="D150" s="520" t="s">
        <v>408</v>
      </c>
      <c r="E150" s="175"/>
      <c r="F150" s="176"/>
      <c r="G150" s="177"/>
      <c r="H150" s="177"/>
      <c r="I150" s="177"/>
      <c r="J150" s="177">
        <v>1500</v>
      </c>
      <c r="K150" s="177"/>
      <c r="L150" s="177"/>
      <c r="M150" s="178"/>
      <c r="N150" s="89"/>
      <c r="O150" s="89"/>
      <c r="P150" s="107"/>
      <c r="R150" s="180">
        <v>1500</v>
      </c>
      <c r="S150" s="89" t="s">
        <v>601</v>
      </c>
    </row>
    <row r="151" spans="2:19">
      <c r="B151" s="89">
        <v>145</v>
      </c>
      <c r="C151" s="47" t="s">
        <v>409</v>
      </c>
      <c r="D151" s="454" t="s">
        <v>1932</v>
      </c>
      <c r="E151" s="186"/>
      <c r="F151" s="176"/>
      <c r="G151" s="177"/>
      <c r="H151" s="177"/>
      <c r="I151" s="177"/>
      <c r="J151" s="177"/>
      <c r="K151" s="177"/>
      <c r="L151" s="177"/>
      <c r="M151" s="89"/>
      <c r="N151" s="89"/>
      <c r="O151" s="89"/>
      <c r="P151" s="107"/>
      <c r="R151" s="187" t="s">
        <v>515</v>
      </c>
      <c r="S151" s="92" t="s">
        <v>515</v>
      </c>
    </row>
    <row r="152" spans="2:19">
      <c r="B152" s="89">
        <v>146</v>
      </c>
      <c r="C152" s="89" t="s">
        <v>410</v>
      </c>
      <c r="D152" s="454" t="s">
        <v>1804</v>
      </c>
      <c r="E152" s="186"/>
      <c r="F152" s="176"/>
      <c r="G152" s="177"/>
      <c r="H152" s="177"/>
      <c r="I152" s="177"/>
      <c r="J152" s="177">
        <v>5</v>
      </c>
      <c r="K152" s="177"/>
      <c r="L152" s="177"/>
      <c r="M152" s="89"/>
      <c r="N152" s="89"/>
      <c r="O152" s="89"/>
      <c r="P152" s="107"/>
      <c r="R152" s="187"/>
      <c r="S152" s="92"/>
    </row>
    <row r="153" spans="2:19">
      <c r="B153" s="89">
        <v>147</v>
      </c>
      <c r="C153" s="89" t="s">
        <v>411</v>
      </c>
      <c r="D153" s="454" t="s">
        <v>1797</v>
      </c>
      <c r="E153" s="186"/>
      <c r="F153" s="176"/>
      <c r="G153" s="177"/>
      <c r="H153" s="177"/>
      <c r="I153" s="177"/>
      <c r="J153" s="177">
        <v>5</v>
      </c>
      <c r="K153" s="177"/>
      <c r="L153" s="177"/>
      <c r="M153" s="89"/>
      <c r="N153" s="89"/>
      <c r="O153" s="89"/>
      <c r="P153" s="107"/>
      <c r="R153" s="187"/>
      <c r="S153" s="92"/>
    </row>
    <row r="154" spans="2:19">
      <c r="B154" s="89">
        <v>148</v>
      </c>
      <c r="C154" s="89" t="s">
        <v>412</v>
      </c>
      <c r="D154" s="454" t="s">
        <v>1749</v>
      </c>
      <c r="E154" s="186"/>
      <c r="F154" s="176"/>
      <c r="G154" s="177"/>
      <c r="H154" s="177"/>
      <c r="I154" s="177"/>
      <c r="J154" s="177"/>
      <c r="K154" s="177"/>
      <c r="L154" s="177"/>
      <c r="M154" s="89"/>
      <c r="N154" s="89"/>
      <c r="O154" s="89" t="s">
        <v>611</v>
      </c>
      <c r="P154" s="107" t="s">
        <v>515</v>
      </c>
      <c r="R154" s="187" t="s">
        <v>515</v>
      </c>
      <c r="S154" s="92" t="s">
        <v>515</v>
      </c>
    </row>
    <row r="155" spans="2:19">
      <c r="B155" s="89">
        <v>149</v>
      </c>
      <c r="C155" s="89" t="s">
        <v>413</v>
      </c>
      <c r="D155" s="454" t="s">
        <v>1762</v>
      </c>
      <c r="E155" s="186"/>
      <c r="F155" s="176"/>
      <c r="G155" s="177"/>
      <c r="H155" s="177"/>
      <c r="I155" s="177"/>
      <c r="J155" s="177"/>
      <c r="K155" s="177"/>
      <c r="L155" s="177"/>
      <c r="M155" s="89"/>
      <c r="N155" s="89"/>
      <c r="O155" s="89" t="s">
        <v>611</v>
      </c>
      <c r="P155" s="107" t="s">
        <v>515</v>
      </c>
      <c r="R155" s="187" t="s">
        <v>515</v>
      </c>
      <c r="S155" s="92" t="s">
        <v>515</v>
      </c>
    </row>
    <row r="156" spans="2:19">
      <c r="B156" s="89">
        <v>150</v>
      </c>
      <c r="C156" s="89" t="s">
        <v>414</v>
      </c>
      <c r="D156" s="454" t="s">
        <v>1847</v>
      </c>
      <c r="F156" s="176"/>
      <c r="G156" s="177"/>
      <c r="H156" s="177"/>
      <c r="I156" s="177"/>
      <c r="J156" s="177"/>
      <c r="K156" s="177"/>
      <c r="L156" s="177"/>
      <c r="M156" s="178">
        <v>40</v>
      </c>
      <c r="N156" s="89"/>
      <c r="O156" s="89" t="s">
        <v>611</v>
      </c>
      <c r="P156" s="107" t="s">
        <v>515</v>
      </c>
      <c r="R156" s="180">
        <v>40</v>
      </c>
      <c r="S156" s="89" t="s">
        <v>602</v>
      </c>
    </row>
    <row r="157" spans="2:19">
      <c r="B157" s="89">
        <v>151</v>
      </c>
      <c r="C157" s="89" t="s">
        <v>174</v>
      </c>
      <c r="D157" s="454" t="s">
        <v>173</v>
      </c>
      <c r="E157" s="181"/>
      <c r="F157" s="176">
        <v>0.1</v>
      </c>
      <c r="G157" s="177"/>
      <c r="H157" s="177"/>
      <c r="I157" s="177">
        <v>20</v>
      </c>
      <c r="J157" s="177"/>
      <c r="K157" s="177">
        <v>2</v>
      </c>
      <c r="L157" s="177"/>
      <c r="M157" s="178">
        <v>1.1000000000000001</v>
      </c>
      <c r="N157" s="89"/>
      <c r="O157" s="89"/>
      <c r="P157" s="107"/>
      <c r="R157" s="180">
        <v>0.1</v>
      </c>
      <c r="S157" s="89" t="s">
        <v>598</v>
      </c>
    </row>
    <row r="158" spans="2:19">
      <c r="B158" s="89">
        <v>152</v>
      </c>
      <c r="C158" s="89" t="s">
        <v>150</v>
      </c>
      <c r="D158" s="454" t="s">
        <v>1737</v>
      </c>
      <c r="E158" s="181"/>
      <c r="F158" s="176">
        <v>0.1</v>
      </c>
      <c r="G158" s="177"/>
      <c r="H158" s="177"/>
      <c r="I158" s="177">
        <v>100</v>
      </c>
      <c r="J158" s="177">
        <v>150</v>
      </c>
      <c r="K158" s="177">
        <v>3</v>
      </c>
      <c r="L158" s="177"/>
      <c r="M158" s="178">
        <v>0.3</v>
      </c>
      <c r="N158" s="89"/>
      <c r="O158" s="89"/>
      <c r="P158" s="107"/>
      <c r="R158" s="180">
        <v>0.1</v>
      </c>
      <c r="S158" s="89" t="s">
        <v>598</v>
      </c>
    </row>
    <row r="159" spans="2:19">
      <c r="B159" s="89">
        <v>153</v>
      </c>
      <c r="C159" s="89" t="s">
        <v>178</v>
      </c>
      <c r="D159" s="454" t="s">
        <v>1741</v>
      </c>
      <c r="E159" s="181"/>
      <c r="F159" s="176">
        <v>0.1</v>
      </c>
      <c r="G159" s="177"/>
      <c r="H159" s="177"/>
      <c r="I159" s="177"/>
      <c r="J159" s="177"/>
      <c r="K159" s="177"/>
      <c r="L159" s="177"/>
      <c r="M159" s="178">
        <v>570</v>
      </c>
      <c r="N159" s="89"/>
      <c r="O159" s="89"/>
      <c r="P159" s="107"/>
      <c r="R159" s="180">
        <v>0.1</v>
      </c>
      <c r="S159" s="89" t="s">
        <v>598</v>
      </c>
    </row>
    <row r="160" spans="2:19">
      <c r="B160" s="89">
        <v>154</v>
      </c>
      <c r="C160" s="89" t="s">
        <v>151</v>
      </c>
      <c r="D160" s="454" t="s">
        <v>1751</v>
      </c>
      <c r="E160" s="181"/>
      <c r="F160" s="176">
        <v>0.1</v>
      </c>
      <c r="G160" s="177"/>
      <c r="H160" s="177"/>
      <c r="I160" s="177"/>
      <c r="J160" s="177"/>
      <c r="K160" s="177"/>
      <c r="L160" s="177"/>
      <c r="M160" s="178"/>
      <c r="N160" s="89"/>
      <c r="O160" s="89"/>
      <c r="P160" s="107"/>
      <c r="R160" s="180">
        <v>0.1</v>
      </c>
      <c r="S160" s="89" t="s">
        <v>598</v>
      </c>
    </row>
    <row r="161" spans="2:19">
      <c r="B161" s="89">
        <v>155</v>
      </c>
      <c r="C161" s="89" t="s">
        <v>415</v>
      </c>
      <c r="D161" s="454" t="s">
        <v>1760</v>
      </c>
      <c r="E161" s="181"/>
      <c r="F161" s="176">
        <v>0.1</v>
      </c>
      <c r="G161" s="177"/>
      <c r="H161" s="177"/>
      <c r="I161" s="177"/>
      <c r="J161" s="177"/>
      <c r="K161" s="177"/>
      <c r="L161" s="177"/>
      <c r="M161" s="178"/>
      <c r="N161" s="89"/>
      <c r="O161" s="89"/>
      <c r="P161" s="107"/>
      <c r="R161" s="180">
        <v>0.1</v>
      </c>
      <c r="S161" s="89" t="s">
        <v>598</v>
      </c>
    </row>
    <row r="162" spans="2:19">
      <c r="B162" s="89">
        <v>156</v>
      </c>
      <c r="C162" s="89" t="s">
        <v>152</v>
      </c>
      <c r="D162" s="454" t="s">
        <v>1761</v>
      </c>
      <c r="E162" s="181"/>
      <c r="F162" s="176">
        <v>0.1</v>
      </c>
      <c r="G162" s="177"/>
      <c r="H162" s="177"/>
      <c r="I162" s="177"/>
      <c r="J162" s="177"/>
      <c r="K162" s="177"/>
      <c r="L162" s="177"/>
      <c r="M162" s="178"/>
      <c r="N162" s="89"/>
      <c r="O162" s="89"/>
      <c r="P162" s="107"/>
      <c r="R162" s="180">
        <v>0.1</v>
      </c>
      <c r="S162" s="89" t="s">
        <v>598</v>
      </c>
    </row>
    <row r="163" spans="2:19">
      <c r="B163" s="89">
        <v>157</v>
      </c>
      <c r="C163" s="89" t="s">
        <v>153</v>
      </c>
      <c r="D163" s="454" t="s">
        <v>1763</v>
      </c>
      <c r="E163" s="181"/>
      <c r="F163" s="176">
        <v>0.1</v>
      </c>
      <c r="G163" s="177"/>
      <c r="H163" s="177"/>
      <c r="I163" s="177"/>
      <c r="J163" s="177"/>
      <c r="K163" s="177"/>
      <c r="L163" s="177"/>
      <c r="M163" s="178"/>
      <c r="N163" s="89"/>
      <c r="O163" s="89"/>
      <c r="P163" s="107"/>
      <c r="R163" s="180">
        <v>0.1</v>
      </c>
      <c r="S163" s="89" t="s">
        <v>598</v>
      </c>
    </row>
    <row r="164" spans="2:19">
      <c r="B164" s="89">
        <v>158</v>
      </c>
      <c r="C164" s="89" t="s">
        <v>416</v>
      </c>
      <c r="D164" s="454" t="s">
        <v>1768</v>
      </c>
      <c r="E164" s="181"/>
      <c r="F164" s="176">
        <v>0.1</v>
      </c>
      <c r="G164" s="177"/>
      <c r="H164" s="177"/>
      <c r="I164" s="177"/>
      <c r="J164" s="177"/>
      <c r="K164" s="177"/>
      <c r="L164" s="177"/>
      <c r="M164" s="178">
        <v>2800</v>
      </c>
      <c r="N164" s="89"/>
      <c r="O164" s="89"/>
      <c r="P164" s="107"/>
      <c r="R164" s="180">
        <v>0.1</v>
      </c>
      <c r="S164" s="89" t="s">
        <v>598</v>
      </c>
    </row>
    <row r="165" spans="2:19">
      <c r="B165" s="89">
        <v>159</v>
      </c>
      <c r="C165" s="89" t="s">
        <v>172</v>
      </c>
      <c r="D165" s="454" t="s">
        <v>1769</v>
      </c>
      <c r="E165" s="181"/>
      <c r="F165" s="176">
        <v>0.1</v>
      </c>
      <c r="G165" s="177"/>
      <c r="H165" s="177"/>
      <c r="I165" s="177">
        <v>30</v>
      </c>
      <c r="J165" s="177"/>
      <c r="K165" s="177"/>
      <c r="L165" s="177"/>
      <c r="M165" s="178"/>
      <c r="N165" s="89"/>
      <c r="O165" s="89"/>
      <c r="P165" s="107"/>
      <c r="R165" s="180">
        <v>0.1</v>
      </c>
      <c r="S165" s="89" t="s">
        <v>598</v>
      </c>
    </row>
    <row r="166" spans="2:19">
      <c r="B166" s="89">
        <v>160</v>
      </c>
      <c r="C166" s="89" t="s">
        <v>154</v>
      </c>
      <c r="D166" s="454" t="s">
        <v>1778</v>
      </c>
      <c r="E166" s="181"/>
      <c r="F166" s="176">
        <v>0.1</v>
      </c>
      <c r="G166" s="177"/>
      <c r="H166" s="177"/>
      <c r="I166" s="177">
        <v>0.6</v>
      </c>
      <c r="J166" s="177"/>
      <c r="K166" s="177"/>
      <c r="L166" s="177"/>
      <c r="M166" s="178">
        <v>8.7999999999999995E-2</v>
      </c>
      <c r="N166" s="89"/>
      <c r="O166" s="89"/>
      <c r="P166" s="107"/>
      <c r="R166" s="180">
        <v>0.1</v>
      </c>
      <c r="S166" s="89" t="s">
        <v>598</v>
      </c>
    </row>
    <row r="167" spans="2:19">
      <c r="B167" s="89">
        <v>161</v>
      </c>
      <c r="C167" s="89" t="s">
        <v>417</v>
      </c>
      <c r="D167" s="454" t="s">
        <v>1783</v>
      </c>
      <c r="E167" s="181"/>
      <c r="F167" s="176">
        <v>0.1</v>
      </c>
      <c r="G167" s="177"/>
      <c r="H167" s="177"/>
      <c r="I167" s="177"/>
      <c r="J167" s="177"/>
      <c r="K167" s="177"/>
      <c r="L167" s="177"/>
      <c r="M167" s="178"/>
      <c r="N167" s="89"/>
      <c r="O167" s="89"/>
      <c r="P167" s="107"/>
      <c r="R167" s="180">
        <v>0.1</v>
      </c>
      <c r="S167" s="89" t="s">
        <v>598</v>
      </c>
    </row>
    <row r="168" spans="2:19">
      <c r="B168" s="89">
        <v>162</v>
      </c>
      <c r="C168" s="89" t="s">
        <v>418</v>
      </c>
      <c r="D168" s="454" t="s">
        <v>1784</v>
      </c>
      <c r="E168" s="181"/>
      <c r="F168" s="176">
        <v>0.1</v>
      </c>
      <c r="G168" s="177"/>
      <c r="H168" s="177"/>
      <c r="I168" s="177"/>
      <c r="J168" s="177"/>
      <c r="K168" s="177"/>
      <c r="L168" s="177"/>
      <c r="M168" s="178"/>
      <c r="N168" s="89"/>
      <c r="O168" s="89"/>
      <c r="P168" s="107"/>
      <c r="R168" s="180">
        <v>0.1</v>
      </c>
      <c r="S168" s="89" t="s">
        <v>598</v>
      </c>
    </row>
    <row r="169" spans="2:19">
      <c r="B169" s="89">
        <v>163</v>
      </c>
      <c r="C169" s="89" t="s">
        <v>419</v>
      </c>
      <c r="D169" s="454" t="s">
        <v>1782</v>
      </c>
      <c r="E169" s="181"/>
      <c r="F169" s="176">
        <v>0.1</v>
      </c>
      <c r="G169" s="177"/>
      <c r="H169" s="177"/>
      <c r="I169" s="177"/>
      <c r="J169" s="177"/>
      <c r="K169" s="177"/>
      <c r="L169" s="177"/>
      <c r="M169" s="178"/>
      <c r="N169" s="89"/>
      <c r="O169" s="89"/>
      <c r="P169" s="107"/>
      <c r="R169" s="180">
        <v>0.1</v>
      </c>
      <c r="S169" s="89" t="s">
        <v>598</v>
      </c>
    </row>
    <row r="170" spans="2:19">
      <c r="B170" s="89">
        <v>164</v>
      </c>
      <c r="C170" s="89" t="s">
        <v>179</v>
      </c>
      <c r="D170" s="454" t="s">
        <v>1790</v>
      </c>
      <c r="E170" s="181"/>
      <c r="F170" s="176">
        <v>0.1</v>
      </c>
      <c r="G170" s="177"/>
      <c r="H170" s="177"/>
      <c r="I170" s="177"/>
      <c r="J170" s="177"/>
      <c r="K170" s="177"/>
      <c r="L170" s="177"/>
      <c r="M170" s="178">
        <v>570</v>
      </c>
      <c r="N170" s="89"/>
      <c r="O170" s="89"/>
      <c r="P170" s="107"/>
      <c r="R170" s="180">
        <v>0.1</v>
      </c>
      <c r="S170" s="89" t="s">
        <v>598</v>
      </c>
    </row>
    <row r="171" spans="2:19">
      <c r="B171" s="89">
        <v>165</v>
      </c>
      <c r="C171" s="89" t="s">
        <v>155</v>
      </c>
      <c r="D171" s="454" t="s">
        <v>1290</v>
      </c>
      <c r="E171" s="181"/>
      <c r="F171" s="176">
        <v>0.1</v>
      </c>
      <c r="G171" s="177"/>
      <c r="H171" s="177"/>
      <c r="I171" s="177"/>
      <c r="J171" s="177"/>
      <c r="K171" s="177"/>
      <c r="L171" s="177"/>
      <c r="M171" s="178"/>
      <c r="N171" s="89"/>
      <c r="O171" s="89"/>
      <c r="P171" s="107"/>
      <c r="R171" s="180">
        <v>0.1</v>
      </c>
      <c r="S171" s="89" t="s">
        <v>598</v>
      </c>
    </row>
    <row r="172" spans="2:19">
      <c r="B172" s="89">
        <v>166</v>
      </c>
      <c r="C172" s="89" t="s">
        <v>156</v>
      </c>
      <c r="D172" s="454" t="s">
        <v>1813</v>
      </c>
      <c r="E172" s="181"/>
      <c r="F172" s="176">
        <v>0.1</v>
      </c>
      <c r="G172" s="177"/>
      <c r="H172" s="177"/>
      <c r="I172" s="177"/>
      <c r="J172" s="177"/>
      <c r="K172" s="177"/>
      <c r="L172" s="177"/>
      <c r="M172" s="178">
        <v>36</v>
      </c>
      <c r="N172" s="89"/>
      <c r="O172" s="89"/>
      <c r="P172" s="107"/>
      <c r="R172" s="180">
        <v>0.1</v>
      </c>
      <c r="S172" s="89" t="s">
        <v>598</v>
      </c>
    </row>
    <row r="173" spans="2:19">
      <c r="B173" s="89">
        <v>167</v>
      </c>
      <c r="C173" s="89" t="s">
        <v>157</v>
      </c>
      <c r="D173" s="454" t="s">
        <v>1823</v>
      </c>
      <c r="E173" s="181"/>
      <c r="F173" s="176">
        <v>0.1</v>
      </c>
      <c r="G173" s="177"/>
      <c r="H173" s="177"/>
      <c r="I173" s="177"/>
      <c r="J173" s="177"/>
      <c r="K173" s="177"/>
      <c r="L173" s="177"/>
      <c r="M173" s="178"/>
      <c r="N173" s="89"/>
      <c r="O173" s="89"/>
      <c r="P173" s="107"/>
      <c r="R173" s="180">
        <v>0.1</v>
      </c>
      <c r="S173" s="89" t="s">
        <v>598</v>
      </c>
    </row>
    <row r="174" spans="2:19">
      <c r="B174" s="89">
        <v>168</v>
      </c>
      <c r="C174" s="89" t="s">
        <v>180</v>
      </c>
      <c r="D174" s="454" t="s">
        <v>1827</v>
      </c>
      <c r="E174" s="181"/>
      <c r="F174" s="176">
        <v>0.1</v>
      </c>
      <c r="G174" s="177"/>
      <c r="H174" s="177"/>
      <c r="I174" s="177"/>
      <c r="J174" s="177"/>
      <c r="K174" s="177"/>
      <c r="L174" s="177"/>
      <c r="M174" s="178"/>
      <c r="N174" s="89"/>
      <c r="O174" s="89"/>
      <c r="P174" s="107"/>
      <c r="R174" s="180">
        <v>0.1</v>
      </c>
      <c r="S174" s="89" t="s">
        <v>598</v>
      </c>
    </row>
    <row r="175" spans="2:19" ht="30">
      <c r="B175" s="89">
        <v>169</v>
      </c>
      <c r="C175" s="89" t="s">
        <v>158</v>
      </c>
      <c r="D175" s="454" t="s">
        <v>1837</v>
      </c>
      <c r="E175" s="181"/>
      <c r="F175" s="176">
        <v>0.1</v>
      </c>
      <c r="G175" s="177"/>
      <c r="H175" s="177"/>
      <c r="I175" s="177"/>
      <c r="J175" s="177"/>
      <c r="K175" s="177"/>
      <c r="L175" s="177"/>
      <c r="M175" s="178">
        <v>640</v>
      </c>
      <c r="N175" s="89"/>
      <c r="O175" s="89"/>
      <c r="P175" s="107"/>
      <c r="R175" s="180">
        <v>0.1</v>
      </c>
      <c r="S175" s="89" t="s">
        <v>598</v>
      </c>
    </row>
    <row r="176" spans="2:19">
      <c r="B176" s="89">
        <v>170</v>
      </c>
      <c r="C176" s="89" t="s">
        <v>159</v>
      </c>
      <c r="D176" s="454" t="s">
        <v>1843</v>
      </c>
      <c r="E176" s="181"/>
      <c r="F176" s="176">
        <v>0.1</v>
      </c>
      <c r="G176" s="177"/>
      <c r="H176" s="177"/>
      <c r="I176" s="177">
        <v>9</v>
      </c>
      <c r="J176" s="177"/>
      <c r="K176" s="177"/>
      <c r="L176" s="177"/>
      <c r="M176" s="178"/>
      <c r="N176" s="89"/>
      <c r="O176" s="89"/>
      <c r="P176" s="107"/>
      <c r="R176" s="180">
        <v>0.1</v>
      </c>
      <c r="S176" s="89" t="s">
        <v>598</v>
      </c>
    </row>
    <row r="177" spans="2:19">
      <c r="B177" s="89">
        <v>171</v>
      </c>
      <c r="C177" s="89" t="s">
        <v>160</v>
      </c>
      <c r="D177" s="454" t="s">
        <v>1846</v>
      </c>
      <c r="E177" s="181"/>
      <c r="F177" s="176">
        <v>0.1</v>
      </c>
      <c r="G177" s="177"/>
      <c r="H177" s="177"/>
      <c r="I177" s="177"/>
      <c r="J177" s="177"/>
      <c r="K177" s="177"/>
      <c r="L177" s="177"/>
      <c r="M177" s="178">
        <v>33</v>
      </c>
      <c r="N177" s="89"/>
      <c r="O177" s="89"/>
      <c r="P177" s="107"/>
      <c r="R177" s="180">
        <v>0.1</v>
      </c>
      <c r="S177" s="89" t="s">
        <v>598</v>
      </c>
    </row>
    <row r="178" spans="2:19">
      <c r="B178" s="89">
        <v>172</v>
      </c>
      <c r="C178" s="89" t="s">
        <v>161</v>
      </c>
      <c r="D178" s="454" t="s">
        <v>1854</v>
      </c>
      <c r="E178" s="181"/>
      <c r="F178" s="176">
        <v>0.1</v>
      </c>
      <c r="G178" s="177"/>
      <c r="H178" s="177"/>
      <c r="I178" s="177"/>
      <c r="J178" s="177"/>
      <c r="K178" s="177"/>
      <c r="L178" s="177"/>
      <c r="M178" s="178"/>
      <c r="N178" s="89"/>
      <c r="O178" s="89"/>
      <c r="P178" s="107"/>
      <c r="R178" s="180">
        <v>0.1</v>
      </c>
      <c r="S178" s="89" t="s">
        <v>598</v>
      </c>
    </row>
    <row r="179" spans="2:19" ht="30">
      <c r="B179" s="89">
        <v>173</v>
      </c>
      <c r="C179" s="89" t="s">
        <v>162</v>
      </c>
      <c r="D179" s="454" t="s">
        <v>1856</v>
      </c>
      <c r="E179" s="181"/>
      <c r="F179" s="176">
        <v>0.1</v>
      </c>
      <c r="G179" s="177"/>
      <c r="H179" s="177"/>
      <c r="I179" s="177"/>
      <c r="J179" s="177"/>
      <c r="K179" s="177"/>
      <c r="L179" s="177"/>
      <c r="M179" s="178"/>
      <c r="N179" s="89"/>
      <c r="O179" s="89"/>
      <c r="P179" s="107"/>
      <c r="R179" s="180">
        <v>0.1</v>
      </c>
      <c r="S179" s="89" t="s">
        <v>598</v>
      </c>
    </row>
    <row r="180" spans="2:19">
      <c r="B180" s="89">
        <v>174</v>
      </c>
      <c r="C180" s="89" t="s">
        <v>163</v>
      </c>
      <c r="D180" s="454" t="s">
        <v>1857</v>
      </c>
      <c r="E180" s="181"/>
      <c r="F180" s="176">
        <v>0.1</v>
      </c>
      <c r="G180" s="177"/>
      <c r="H180" s="177"/>
      <c r="I180" s="177"/>
      <c r="J180" s="177"/>
      <c r="K180" s="177"/>
      <c r="L180" s="177"/>
      <c r="M180" s="178"/>
      <c r="N180" s="89"/>
      <c r="O180" s="89"/>
      <c r="P180" s="107"/>
      <c r="R180" s="180">
        <v>0.1</v>
      </c>
      <c r="S180" s="89" t="s">
        <v>598</v>
      </c>
    </row>
    <row r="181" spans="2:19">
      <c r="B181" s="89">
        <v>175</v>
      </c>
      <c r="C181" s="89" t="s">
        <v>164</v>
      </c>
      <c r="D181" s="454" t="s">
        <v>1860</v>
      </c>
      <c r="E181" s="181"/>
      <c r="F181" s="176">
        <v>0.1</v>
      </c>
      <c r="G181" s="177"/>
      <c r="H181" s="177"/>
      <c r="I181" s="177"/>
      <c r="J181" s="177"/>
      <c r="K181" s="177"/>
      <c r="L181" s="177"/>
      <c r="M181" s="178"/>
      <c r="N181" s="89"/>
      <c r="O181" s="89"/>
      <c r="P181" s="107"/>
      <c r="R181" s="180">
        <v>0.1</v>
      </c>
      <c r="S181" s="89" t="s">
        <v>598</v>
      </c>
    </row>
    <row r="182" spans="2:19" ht="30">
      <c r="B182" s="89">
        <v>176</v>
      </c>
      <c r="C182" s="92" t="s">
        <v>165</v>
      </c>
      <c r="D182" s="454" t="s">
        <v>1862</v>
      </c>
      <c r="E182" s="181"/>
      <c r="F182" s="176">
        <v>0.1</v>
      </c>
      <c r="G182" s="177"/>
      <c r="H182" s="177"/>
      <c r="I182" s="177">
        <v>10</v>
      </c>
      <c r="J182" s="177"/>
      <c r="K182" s="177"/>
      <c r="L182" s="177"/>
      <c r="M182" s="178">
        <v>2700</v>
      </c>
      <c r="N182" s="89"/>
      <c r="O182" s="89"/>
      <c r="P182" s="107"/>
      <c r="R182" s="180">
        <v>0.1</v>
      </c>
      <c r="S182" s="89" t="s">
        <v>598</v>
      </c>
    </row>
    <row r="183" spans="2:19">
      <c r="B183" s="89">
        <v>177</v>
      </c>
      <c r="C183" s="92" t="s">
        <v>420</v>
      </c>
      <c r="D183" s="454" t="s">
        <v>1863</v>
      </c>
      <c r="E183" s="181"/>
      <c r="F183" s="176">
        <v>0.1</v>
      </c>
      <c r="G183" s="177"/>
      <c r="H183" s="177"/>
      <c r="I183" s="177"/>
      <c r="J183" s="177"/>
      <c r="K183" s="177"/>
      <c r="L183" s="177"/>
      <c r="M183" s="178"/>
      <c r="N183" s="89"/>
      <c r="O183" s="89"/>
      <c r="P183" s="107"/>
      <c r="R183" s="180">
        <v>0.1</v>
      </c>
      <c r="S183" s="89" t="s">
        <v>598</v>
      </c>
    </row>
    <row r="184" spans="2:19">
      <c r="B184" s="89">
        <v>178</v>
      </c>
      <c r="C184" s="92" t="s">
        <v>166</v>
      </c>
      <c r="D184" s="454" t="s">
        <v>1866</v>
      </c>
      <c r="E184" s="181"/>
      <c r="F184" s="176">
        <v>0.1</v>
      </c>
      <c r="G184" s="177"/>
      <c r="H184" s="177"/>
      <c r="I184" s="177"/>
      <c r="J184" s="177"/>
      <c r="K184" s="177"/>
      <c r="L184" s="177"/>
      <c r="M184" s="178"/>
      <c r="N184" s="89"/>
      <c r="O184" s="89"/>
      <c r="P184" s="107"/>
      <c r="R184" s="180">
        <v>0.1</v>
      </c>
      <c r="S184" s="89" t="s">
        <v>598</v>
      </c>
    </row>
    <row r="185" spans="2:19">
      <c r="B185" s="89">
        <v>179</v>
      </c>
      <c r="C185" s="92" t="s">
        <v>110</v>
      </c>
      <c r="D185" s="454" t="s">
        <v>1896</v>
      </c>
      <c r="E185" s="181"/>
      <c r="F185" s="176">
        <v>0.1</v>
      </c>
      <c r="G185" s="177">
        <v>9</v>
      </c>
      <c r="H185" s="177">
        <v>9</v>
      </c>
      <c r="I185" s="177">
        <v>9</v>
      </c>
      <c r="J185" s="177">
        <v>3</v>
      </c>
      <c r="K185" s="177">
        <v>1</v>
      </c>
      <c r="L185" s="177"/>
      <c r="M185" s="178">
        <v>4.1000000000000002E-2</v>
      </c>
      <c r="N185" s="89"/>
      <c r="O185" s="89"/>
      <c r="P185" s="107"/>
      <c r="R185" s="180">
        <v>0.1</v>
      </c>
      <c r="S185" s="89" t="s">
        <v>598</v>
      </c>
    </row>
    <row r="186" spans="2:19">
      <c r="B186" s="89">
        <v>180</v>
      </c>
      <c r="C186" s="92" t="s">
        <v>421</v>
      </c>
      <c r="D186" s="454" t="s">
        <v>1904</v>
      </c>
      <c r="E186" s="181"/>
      <c r="F186" s="176">
        <v>0.1</v>
      </c>
      <c r="G186" s="177"/>
      <c r="H186" s="177"/>
      <c r="I186" s="177"/>
      <c r="J186" s="177"/>
      <c r="K186" s="177"/>
      <c r="L186" s="177"/>
      <c r="M186" s="178">
        <v>60</v>
      </c>
      <c r="N186" s="89"/>
      <c r="O186" s="89"/>
      <c r="P186" s="107"/>
      <c r="R186" s="180">
        <v>0.1</v>
      </c>
      <c r="S186" s="89" t="s">
        <v>598</v>
      </c>
    </row>
    <row r="187" spans="2:19">
      <c r="B187" s="89">
        <v>181</v>
      </c>
      <c r="C187" s="89" t="s">
        <v>422</v>
      </c>
      <c r="D187" s="454" t="s">
        <v>1905</v>
      </c>
      <c r="E187" s="181"/>
      <c r="F187" s="176">
        <v>0.1</v>
      </c>
      <c r="G187" s="177"/>
      <c r="H187" s="177"/>
      <c r="I187" s="177"/>
      <c r="J187" s="177"/>
      <c r="K187" s="177"/>
      <c r="L187" s="177"/>
      <c r="M187" s="178">
        <v>250</v>
      </c>
      <c r="N187" s="89"/>
      <c r="O187" s="89"/>
      <c r="P187" s="107"/>
      <c r="R187" s="180">
        <v>0.1</v>
      </c>
      <c r="S187" s="89" t="s">
        <v>598</v>
      </c>
    </row>
    <row r="188" spans="2:19">
      <c r="B188" s="89">
        <v>182</v>
      </c>
      <c r="C188" s="89" t="s">
        <v>423</v>
      </c>
      <c r="D188" s="454" t="s">
        <v>1907</v>
      </c>
      <c r="E188" s="181"/>
      <c r="F188" s="176">
        <v>0.1</v>
      </c>
      <c r="G188" s="177"/>
      <c r="H188" s="177"/>
      <c r="I188" s="177"/>
      <c r="J188" s="177"/>
      <c r="K188" s="177"/>
      <c r="L188" s="177"/>
      <c r="M188" s="178">
        <v>82</v>
      </c>
      <c r="N188" s="89"/>
      <c r="O188" s="89"/>
      <c r="P188" s="107"/>
      <c r="R188" s="180">
        <v>0.1</v>
      </c>
      <c r="S188" s="89" t="s">
        <v>598</v>
      </c>
    </row>
    <row r="189" spans="2:19">
      <c r="B189" s="89">
        <v>183</v>
      </c>
      <c r="C189" s="89" t="s">
        <v>167</v>
      </c>
      <c r="D189" s="454" t="s">
        <v>1908</v>
      </c>
      <c r="E189" s="181"/>
      <c r="F189" s="176">
        <v>0.1</v>
      </c>
      <c r="G189" s="177"/>
      <c r="H189" s="177"/>
      <c r="I189" s="177"/>
      <c r="J189" s="177"/>
      <c r="K189" s="177"/>
      <c r="L189" s="177"/>
      <c r="M189" s="178">
        <v>340</v>
      </c>
      <c r="N189" s="89"/>
      <c r="O189" s="89"/>
      <c r="P189" s="107"/>
      <c r="R189" s="180">
        <v>0.1</v>
      </c>
      <c r="S189" s="89" t="s">
        <v>598</v>
      </c>
    </row>
    <row r="190" spans="2:19">
      <c r="B190" s="89">
        <v>184</v>
      </c>
      <c r="C190" s="89" t="s">
        <v>168</v>
      </c>
      <c r="D190" s="454" t="s">
        <v>1912</v>
      </c>
      <c r="E190" s="181"/>
      <c r="F190" s="176">
        <v>0.1</v>
      </c>
      <c r="G190" s="177"/>
      <c r="H190" s="177"/>
      <c r="I190" s="177"/>
      <c r="J190" s="177"/>
      <c r="K190" s="177"/>
      <c r="L190" s="177"/>
      <c r="M190" s="178"/>
      <c r="N190" s="89"/>
      <c r="O190" s="89"/>
      <c r="P190" s="107"/>
      <c r="R190" s="180">
        <v>0.1</v>
      </c>
      <c r="S190" s="89" t="s">
        <v>598</v>
      </c>
    </row>
    <row r="191" spans="2:19">
      <c r="B191" s="89">
        <v>185</v>
      </c>
      <c r="C191" s="89" t="s">
        <v>169</v>
      </c>
      <c r="D191" s="454" t="s">
        <v>1918</v>
      </c>
      <c r="E191" s="181"/>
      <c r="F191" s="176">
        <v>0.1</v>
      </c>
      <c r="G191" s="177"/>
      <c r="H191" s="177"/>
      <c r="I191" s="177">
        <v>2</v>
      </c>
      <c r="J191" s="177"/>
      <c r="K191" s="177">
        <v>4</v>
      </c>
      <c r="L191" s="177"/>
      <c r="M191" s="178">
        <v>0.61</v>
      </c>
      <c r="N191" s="89"/>
      <c r="O191" s="89"/>
      <c r="P191" s="107"/>
      <c r="R191" s="180">
        <v>0.1</v>
      </c>
      <c r="S191" s="89" t="s">
        <v>598</v>
      </c>
    </row>
    <row r="192" spans="2:19">
      <c r="B192" s="89">
        <v>186</v>
      </c>
      <c r="C192" s="89" t="s">
        <v>170</v>
      </c>
      <c r="D192" s="454" t="s">
        <v>1926</v>
      </c>
      <c r="E192" s="181"/>
      <c r="F192" s="176">
        <v>0.1</v>
      </c>
      <c r="G192" s="177"/>
      <c r="H192" s="177"/>
      <c r="I192" s="177">
        <v>7</v>
      </c>
      <c r="J192" s="177"/>
      <c r="K192" s="177"/>
      <c r="L192" s="177"/>
      <c r="M192" s="178"/>
      <c r="N192" s="89"/>
      <c r="O192" s="89"/>
      <c r="P192" s="107"/>
      <c r="R192" s="180">
        <v>0.1</v>
      </c>
      <c r="S192" s="89" t="s">
        <v>598</v>
      </c>
    </row>
    <row r="193" spans="2:19">
      <c r="B193" s="89">
        <v>187</v>
      </c>
      <c r="C193" s="89" t="s">
        <v>171</v>
      </c>
      <c r="D193" s="454" t="s">
        <v>1927</v>
      </c>
      <c r="E193" s="181"/>
      <c r="F193" s="176">
        <v>0.1</v>
      </c>
      <c r="G193" s="177"/>
      <c r="H193" s="177"/>
      <c r="I193" s="177"/>
      <c r="J193" s="177"/>
      <c r="K193" s="177"/>
      <c r="L193" s="177"/>
      <c r="M193" s="178">
        <v>13</v>
      </c>
      <c r="N193" s="89"/>
      <c r="O193" s="89"/>
      <c r="P193" s="107"/>
      <c r="R193" s="180">
        <v>0.1</v>
      </c>
      <c r="S193" s="89" t="s">
        <v>598</v>
      </c>
    </row>
    <row r="194" spans="2:19">
      <c r="B194" s="89">
        <v>188</v>
      </c>
      <c r="C194" s="89" t="s">
        <v>143</v>
      </c>
      <c r="D194" s="454" t="s">
        <v>1709</v>
      </c>
      <c r="E194" s="181"/>
      <c r="F194" s="176">
        <v>0.1</v>
      </c>
      <c r="G194" s="177">
        <v>2</v>
      </c>
      <c r="H194" s="177">
        <v>0.1</v>
      </c>
      <c r="I194" s="177"/>
      <c r="J194" s="177">
        <v>0.01</v>
      </c>
      <c r="K194" s="177"/>
      <c r="L194" s="177"/>
      <c r="M194" s="178">
        <v>3.2000000000000001E-2</v>
      </c>
      <c r="N194" s="89"/>
      <c r="O194" s="89"/>
      <c r="P194" s="107"/>
      <c r="R194" s="180">
        <v>0.1</v>
      </c>
      <c r="S194" s="89" t="s">
        <v>598</v>
      </c>
    </row>
    <row r="195" spans="2:19">
      <c r="B195" s="89">
        <v>189</v>
      </c>
      <c r="C195" s="89" t="s">
        <v>145</v>
      </c>
      <c r="D195" s="518" t="s">
        <v>1706</v>
      </c>
      <c r="E195" s="181"/>
      <c r="F195" s="176">
        <v>0.1</v>
      </c>
      <c r="G195" s="177">
        <v>2</v>
      </c>
      <c r="H195" s="177">
        <v>0.1</v>
      </c>
      <c r="I195" s="177"/>
      <c r="J195" s="177">
        <v>0.01</v>
      </c>
      <c r="K195" s="177"/>
      <c r="L195" s="177"/>
      <c r="M195" s="178">
        <v>4.5999999999999999E-2</v>
      </c>
      <c r="N195" s="89"/>
      <c r="O195" s="89"/>
      <c r="P195" s="107"/>
      <c r="R195" s="180">
        <v>0.1</v>
      </c>
      <c r="S195" s="89" t="s">
        <v>598</v>
      </c>
    </row>
    <row r="196" spans="2:19">
      <c r="B196" s="89">
        <v>190</v>
      </c>
      <c r="C196" s="89" t="s">
        <v>146</v>
      </c>
      <c r="D196" s="454" t="s">
        <v>1707</v>
      </c>
      <c r="E196" s="181"/>
      <c r="F196" s="176">
        <v>0.1</v>
      </c>
      <c r="G196" s="177">
        <v>2</v>
      </c>
      <c r="H196" s="177">
        <v>0.1</v>
      </c>
      <c r="I196" s="177">
        <v>1</v>
      </c>
      <c r="J196" s="177">
        <v>0.01</v>
      </c>
      <c r="K196" s="177"/>
      <c r="L196" s="177"/>
      <c r="M196" s="178">
        <v>0.23</v>
      </c>
      <c r="N196" s="89"/>
      <c r="O196" s="89"/>
      <c r="P196" s="107"/>
      <c r="R196" s="180">
        <v>0.1</v>
      </c>
      <c r="S196" s="89" t="s">
        <v>598</v>
      </c>
    </row>
    <row r="197" spans="2:19">
      <c r="B197" s="89">
        <v>191</v>
      </c>
      <c r="C197" s="89" t="s">
        <v>147</v>
      </c>
      <c r="D197" s="518" t="s">
        <v>1743</v>
      </c>
      <c r="E197" s="200"/>
      <c r="F197" s="176">
        <v>0.1</v>
      </c>
      <c r="G197" s="177"/>
      <c r="H197" s="177"/>
      <c r="I197" s="177"/>
      <c r="J197" s="177"/>
      <c r="K197" s="177"/>
      <c r="L197" s="177"/>
      <c r="M197" s="178">
        <v>2.5000000000000001E-2</v>
      </c>
      <c r="N197" s="89"/>
      <c r="O197" s="89"/>
      <c r="P197" s="107"/>
      <c r="R197" s="180">
        <v>0.1</v>
      </c>
      <c r="S197" s="89" t="s">
        <v>598</v>
      </c>
    </row>
    <row r="198" spans="2:19">
      <c r="B198" s="89">
        <v>192</v>
      </c>
      <c r="C198" s="89" t="s">
        <v>182</v>
      </c>
      <c r="D198" s="454" t="s">
        <v>181</v>
      </c>
      <c r="E198" s="201"/>
      <c r="F198" s="176">
        <v>0.1</v>
      </c>
      <c r="G198" s="177"/>
      <c r="H198" s="177"/>
      <c r="I198" s="177">
        <v>30</v>
      </c>
      <c r="J198" s="177"/>
      <c r="K198" s="177">
        <v>70</v>
      </c>
      <c r="L198" s="177"/>
      <c r="M198" s="178">
        <v>170</v>
      </c>
      <c r="N198" s="89"/>
      <c r="O198" s="89"/>
      <c r="P198" s="107"/>
      <c r="R198" s="180">
        <v>0.1</v>
      </c>
      <c r="S198" s="89" t="s">
        <v>598</v>
      </c>
    </row>
    <row r="199" spans="2:19">
      <c r="B199" s="89">
        <v>193</v>
      </c>
      <c r="C199" s="89" t="s">
        <v>176</v>
      </c>
      <c r="D199" s="454" t="s">
        <v>1694</v>
      </c>
      <c r="E199" s="201"/>
      <c r="F199" s="176">
        <v>0.1</v>
      </c>
      <c r="G199" s="177"/>
      <c r="H199" s="177"/>
      <c r="I199" s="177"/>
      <c r="J199" s="177"/>
      <c r="K199" s="177"/>
      <c r="L199" s="177"/>
      <c r="M199" s="112"/>
      <c r="N199" s="89"/>
      <c r="O199" s="89"/>
      <c r="P199" s="107"/>
      <c r="R199" s="180">
        <v>0.1</v>
      </c>
      <c r="S199" s="89" t="s">
        <v>598</v>
      </c>
    </row>
    <row r="200" spans="2:19">
      <c r="B200" s="89">
        <v>194</v>
      </c>
      <c r="C200" s="89" t="s">
        <v>183</v>
      </c>
      <c r="D200" s="454" t="s">
        <v>1849</v>
      </c>
      <c r="E200" s="201"/>
      <c r="F200" s="176">
        <v>0.1</v>
      </c>
      <c r="G200" s="177"/>
      <c r="H200" s="177"/>
      <c r="I200" s="177">
        <v>2</v>
      </c>
      <c r="J200" s="177">
        <v>50</v>
      </c>
      <c r="K200" s="177"/>
      <c r="L200" s="177"/>
      <c r="M200" s="178">
        <v>7.5</v>
      </c>
      <c r="N200" s="89"/>
      <c r="O200" s="89"/>
      <c r="P200" s="107"/>
      <c r="R200" s="180">
        <v>0.1</v>
      </c>
      <c r="S200" s="89" t="s">
        <v>598</v>
      </c>
    </row>
    <row r="201" spans="2:19">
      <c r="B201" s="89">
        <v>195</v>
      </c>
      <c r="C201" s="89" t="s">
        <v>184</v>
      </c>
      <c r="D201" s="454" t="s">
        <v>1851</v>
      </c>
      <c r="E201" s="201"/>
      <c r="F201" s="176">
        <v>0.1</v>
      </c>
      <c r="G201" s="177"/>
      <c r="H201" s="177"/>
      <c r="I201" s="177">
        <v>10</v>
      </c>
      <c r="J201" s="177"/>
      <c r="K201" s="177"/>
      <c r="L201" s="177"/>
      <c r="M201" s="178">
        <v>16</v>
      </c>
      <c r="N201" s="89"/>
      <c r="O201" s="89"/>
      <c r="P201" s="107"/>
      <c r="R201" s="180">
        <v>0.1</v>
      </c>
      <c r="S201" s="89" t="s">
        <v>598</v>
      </c>
    </row>
    <row r="202" spans="2:19">
      <c r="B202" s="89">
        <v>196</v>
      </c>
      <c r="C202" s="89" t="s">
        <v>149</v>
      </c>
      <c r="D202" s="454" t="s">
        <v>1787</v>
      </c>
      <c r="E202" s="201"/>
      <c r="F202" s="176">
        <v>0.1</v>
      </c>
      <c r="G202" s="177"/>
      <c r="H202" s="177"/>
      <c r="I202" s="177"/>
      <c r="J202" s="177"/>
      <c r="K202" s="177"/>
      <c r="L202" s="177"/>
      <c r="M202" s="178">
        <v>10</v>
      </c>
      <c r="N202" s="89"/>
      <c r="O202" s="89"/>
      <c r="P202" s="107"/>
      <c r="R202" s="180">
        <v>0.1</v>
      </c>
      <c r="S202" s="89" t="s">
        <v>598</v>
      </c>
    </row>
    <row r="203" spans="2:19">
      <c r="B203" s="89">
        <v>197</v>
      </c>
      <c r="C203" s="60" t="s">
        <v>424</v>
      </c>
      <c r="D203" s="454" t="s">
        <v>1835</v>
      </c>
      <c r="F203" s="176"/>
      <c r="G203" s="177">
        <v>180</v>
      </c>
      <c r="H203" s="177">
        <v>180</v>
      </c>
      <c r="I203" s="177"/>
      <c r="J203" s="177"/>
      <c r="K203" s="177"/>
      <c r="L203" s="177"/>
      <c r="M203" s="178">
        <v>1500</v>
      </c>
      <c r="N203" s="89"/>
      <c r="O203" s="89"/>
      <c r="P203" s="107"/>
      <c r="R203" s="180">
        <v>180</v>
      </c>
      <c r="S203" s="89" t="s">
        <v>605</v>
      </c>
    </row>
    <row r="204" spans="2:19">
      <c r="B204" s="89">
        <v>198</v>
      </c>
      <c r="C204" s="89" t="s">
        <v>194</v>
      </c>
      <c r="D204" s="454" t="s">
        <v>1654</v>
      </c>
      <c r="E204" s="201"/>
      <c r="F204" s="176"/>
      <c r="G204" s="177"/>
      <c r="H204" s="177"/>
      <c r="I204" s="177"/>
      <c r="J204" s="177"/>
      <c r="K204" s="177"/>
      <c r="L204" s="177"/>
      <c r="M204" s="89">
        <v>0.24</v>
      </c>
      <c r="N204" s="89"/>
      <c r="O204" s="89">
        <v>1E-3</v>
      </c>
      <c r="P204" s="107">
        <v>6</v>
      </c>
      <c r="R204" s="180">
        <v>0.24</v>
      </c>
      <c r="S204" s="89" t="s">
        <v>602</v>
      </c>
    </row>
    <row r="205" spans="2:19">
      <c r="B205" s="89">
        <v>199</v>
      </c>
      <c r="C205" s="89" t="s">
        <v>195</v>
      </c>
      <c r="D205" s="454" t="s">
        <v>1660</v>
      </c>
      <c r="E205" s="201"/>
      <c r="F205" s="176"/>
      <c r="G205" s="177"/>
      <c r="H205" s="177"/>
      <c r="I205" s="177"/>
      <c r="J205" s="177"/>
      <c r="K205" s="177"/>
      <c r="L205" s="177"/>
      <c r="M205" s="89">
        <v>4.9000000000000002E-2</v>
      </c>
      <c r="N205" s="89"/>
      <c r="O205" s="89">
        <v>4.0000000000000001E-3</v>
      </c>
      <c r="P205" s="107">
        <v>24</v>
      </c>
      <c r="R205" s="180">
        <v>4.9000000000000002E-2</v>
      </c>
      <c r="S205" s="89" t="s">
        <v>602</v>
      </c>
    </row>
    <row r="206" spans="2:19">
      <c r="B206" s="89">
        <v>200</v>
      </c>
      <c r="C206" s="89" t="s">
        <v>148</v>
      </c>
      <c r="D206" s="454" t="s">
        <v>1811</v>
      </c>
      <c r="E206" s="201"/>
      <c r="F206" s="176">
        <v>0.1</v>
      </c>
      <c r="G206" s="177"/>
      <c r="H206" s="177"/>
      <c r="I206" s="177"/>
      <c r="J206" s="177"/>
      <c r="K206" s="177"/>
      <c r="L206" s="177"/>
      <c r="M206" s="89">
        <v>0.5</v>
      </c>
      <c r="N206" s="89"/>
      <c r="O206" s="89">
        <v>4.0000000000000003E-5</v>
      </c>
      <c r="P206" s="107">
        <v>0.24000000000000005</v>
      </c>
      <c r="R206" s="180">
        <v>0.1</v>
      </c>
      <c r="S206" s="89" t="s">
        <v>598</v>
      </c>
    </row>
    <row r="207" spans="2:19">
      <c r="B207" s="89">
        <v>201</v>
      </c>
      <c r="C207" s="89" t="s">
        <v>66</v>
      </c>
      <c r="D207" s="454" t="s">
        <v>1756</v>
      </c>
      <c r="E207" s="201"/>
      <c r="F207" s="176"/>
      <c r="G207" s="177"/>
      <c r="H207" s="177"/>
      <c r="I207" s="177"/>
      <c r="J207" s="177"/>
      <c r="K207" s="177"/>
      <c r="L207" s="177"/>
      <c r="M207" s="89">
        <v>7.5</v>
      </c>
      <c r="N207" s="89"/>
      <c r="O207" s="89">
        <v>1E-3</v>
      </c>
      <c r="P207" s="107">
        <v>6</v>
      </c>
      <c r="R207" s="180">
        <v>7.5</v>
      </c>
      <c r="S207" s="89" t="s">
        <v>602</v>
      </c>
    </row>
    <row r="208" spans="2:19">
      <c r="B208" s="89">
        <v>202</v>
      </c>
      <c r="C208" s="89" t="s">
        <v>425</v>
      </c>
      <c r="D208" s="111" t="s">
        <v>1873</v>
      </c>
      <c r="E208" s="201"/>
      <c r="F208" s="176"/>
      <c r="G208" s="177"/>
      <c r="H208" s="177"/>
      <c r="I208" s="177"/>
      <c r="J208" s="177"/>
      <c r="K208" s="177"/>
      <c r="L208" s="177"/>
      <c r="M208" s="89">
        <v>60000000</v>
      </c>
      <c r="N208" s="89"/>
      <c r="O208" s="89" t="s">
        <v>611</v>
      </c>
      <c r="P208" s="107" t="s">
        <v>515</v>
      </c>
      <c r="R208" s="180">
        <v>60000000</v>
      </c>
      <c r="S208" s="89" t="s">
        <v>602</v>
      </c>
    </row>
    <row r="209" spans="2:19">
      <c r="B209" s="89">
        <v>203</v>
      </c>
      <c r="C209" s="89" t="s">
        <v>60</v>
      </c>
      <c r="D209" s="454" t="s">
        <v>1716</v>
      </c>
      <c r="E209" s="201"/>
      <c r="F209" s="176"/>
      <c r="G209" s="177"/>
      <c r="H209" s="177"/>
      <c r="I209" s="177"/>
      <c r="J209" s="177"/>
      <c r="K209" s="177"/>
      <c r="L209" s="177"/>
      <c r="M209" s="89">
        <v>140</v>
      </c>
      <c r="N209" s="89">
        <v>15000</v>
      </c>
      <c r="O209" s="89">
        <v>0.9</v>
      </c>
      <c r="P209" s="107">
        <v>5400</v>
      </c>
      <c r="R209" s="180">
        <v>140</v>
      </c>
      <c r="S209" s="89" t="s">
        <v>602</v>
      </c>
    </row>
    <row r="210" spans="2:19">
      <c r="B210" s="89">
        <v>204</v>
      </c>
      <c r="C210" s="89" t="s">
        <v>76</v>
      </c>
      <c r="D210" s="454" t="s">
        <v>1792</v>
      </c>
      <c r="E210" s="201"/>
      <c r="F210" s="176"/>
      <c r="G210" s="177"/>
      <c r="H210" s="177"/>
      <c r="I210" s="177"/>
      <c r="J210" s="177"/>
      <c r="K210" s="177"/>
      <c r="L210" s="177"/>
      <c r="M210" s="89">
        <v>3900</v>
      </c>
      <c r="N210" s="89"/>
      <c r="O210" s="89">
        <v>0.2</v>
      </c>
      <c r="P210" s="107">
        <v>1200.0000000000002</v>
      </c>
      <c r="R210" s="180">
        <v>1200.0000000000002</v>
      </c>
      <c r="S210" s="89" t="s">
        <v>603</v>
      </c>
    </row>
    <row r="211" spans="2:19">
      <c r="B211" s="89">
        <v>205</v>
      </c>
      <c r="C211" s="89" t="s">
        <v>345</v>
      </c>
      <c r="D211" s="454" t="s">
        <v>1816</v>
      </c>
      <c r="E211" s="201"/>
      <c r="F211" s="176">
        <v>0.1</v>
      </c>
      <c r="G211" s="177"/>
      <c r="H211" s="177"/>
      <c r="I211" s="177">
        <v>0.4</v>
      </c>
      <c r="J211" s="177"/>
      <c r="K211" s="177"/>
      <c r="L211" s="177"/>
      <c r="M211" s="89">
        <v>2</v>
      </c>
      <c r="N211" s="89"/>
      <c r="O211" s="89"/>
      <c r="P211" s="107"/>
      <c r="R211" s="180">
        <v>0.1</v>
      </c>
      <c r="S211" s="89" t="s">
        <v>598</v>
      </c>
    </row>
    <row r="212" spans="2:19">
      <c r="B212" s="89">
        <v>206</v>
      </c>
      <c r="C212" s="89" t="s">
        <v>426</v>
      </c>
      <c r="D212" s="111" t="s">
        <v>1925</v>
      </c>
      <c r="E212" s="201"/>
      <c r="F212" s="176"/>
      <c r="G212" s="177"/>
      <c r="H212" s="177"/>
      <c r="I212" s="177"/>
      <c r="J212" s="177"/>
      <c r="K212" s="177"/>
      <c r="L212" s="177"/>
      <c r="M212" s="89"/>
      <c r="N212" s="89">
        <v>50</v>
      </c>
      <c r="O212" s="89" t="s">
        <v>611</v>
      </c>
      <c r="P212" s="107" t="s">
        <v>515</v>
      </c>
      <c r="R212" s="180">
        <v>50</v>
      </c>
      <c r="S212" s="89" t="s">
        <v>612</v>
      </c>
    </row>
    <row r="213" spans="2:19">
      <c r="B213" s="112">
        <v>207</v>
      </c>
      <c r="C213" s="89" t="s">
        <v>427</v>
      </c>
      <c r="D213" s="111" t="s">
        <v>1623</v>
      </c>
      <c r="E213" s="201"/>
      <c r="F213" s="176"/>
      <c r="G213" s="177">
        <v>9</v>
      </c>
      <c r="H213" s="177">
        <v>2.4</v>
      </c>
      <c r="I213" s="177"/>
      <c r="J213" s="177">
        <v>2.5</v>
      </c>
      <c r="K213" s="177"/>
      <c r="L213" s="177"/>
      <c r="M213" s="89"/>
      <c r="N213" s="89"/>
      <c r="O213" s="89"/>
      <c r="P213" s="107"/>
      <c r="R213" s="180">
        <v>9</v>
      </c>
      <c r="S213" s="89" t="s">
        <v>605</v>
      </c>
    </row>
    <row r="214" spans="2:19">
      <c r="B214" s="89">
        <v>208</v>
      </c>
      <c r="C214" s="89" t="s">
        <v>428</v>
      </c>
      <c r="D214" s="111" t="s">
        <v>1831</v>
      </c>
      <c r="E214" s="201"/>
      <c r="F214" s="176"/>
      <c r="G214" s="177"/>
      <c r="H214" s="177"/>
      <c r="I214" s="177"/>
      <c r="J214" s="177"/>
      <c r="K214" s="177"/>
      <c r="L214" s="177"/>
      <c r="M214" s="89"/>
      <c r="N214" s="89"/>
      <c r="O214" s="89">
        <v>8.3000000000000007</v>
      </c>
      <c r="P214" s="107">
        <v>49800</v>
      </c>
      <c r="R214" s="180">
        <v>49800</v>
      </c>
      <c r="S214" s="89" t="s">
        <v>603</v>
      </c>
    </row>
    <row r="215" spans="2:19">
      <c r="B215" s="89">
        <v>209</v>
      </c>
      <c r="C215" s="89" t="s">
        <v>429</v>
      </c>
      <c r="D215" s="111" t="s">
        <v>1785</v>
      </c>
      <c r="E215" s="201"/>
      <c r="F215" s="176"/>
      <c r="G215" s="177"/>
      <c r="H215" s="177"/>
      <c r="I215" s="177"/>
      <c r="J215" s="177"/>
      <c r="K215" s="177"/>
      <c r="L215" s="177"/>
      <c r="M215" s="89"/>
      <c r="N215" s="89"/>
      <c r="O215" s="89">
        <v>8.3000000000000007</v>
      </c>
      <c r="P215" s="107">
        <v>49800</v>
      </c>
      <c r="R215" s="180">
        <v>49800</v>
      </c>
      <c r="S215" s="89" t="s">
        <v>603</v>
      </c>
    </row>
    <row r="216" spans="2:19">
      <c r="B216" s="89">
        <v>210</v>
      </c>
      <c r="C216" s="89" t="s">
        <v>430</v>
      </c>
      <c r="D216" s="111" t="s">
        <v>1906</v>
      </c>
      <c r="E216" s="201"/>
      <c r="F216" s="176"/>
      <c r="G216" s="177"/>
      <c r="H216" s="177"/>
      <c r="I216" s="177"/>
      <c r="J216" s="177"/>
      <c r="K216" s="177"/>
      <c r="L216" s="177"/>
      <c r="M216" s="89"/>
      <c r="N216" s="89"/>
      <c r="O216" s="89">
        <v>8.3000000000000007</v>
      </c>
      <c r="P216" s="107">
        <v>49800</v>
      </c>
      <c r="R216" s="180">
        <v>49800</v>
      </c>
      <c r="S216" s="89" t="s">
        <v>603</v>
      </c>
    </row>
    <row r="217" spans="2:19">
      <c r="B217" s="89">
        <v>211</v>
      </c>
      <c r="C217" s="89" t="s">
        <v>431</v>
      </c>
      <c r="D217" s="111" t="s">
        <v>1631</v>
      </c>
      <c r="E217" s="201"/>
      <c r="F217" s="176"/>
      <c r="G217" s="177"/>
      <c r="H217" s="177"/>
      <c r="I217" s="177"/>
      <c r="J217" s="177"/>
      <c r="K217" s="177"/>
      <c r="L217" s="177"/>
      <c r="M217" s="89"/>
      <c r="N217" s="89"/>
      <c r="O217" s="89">
        <v>0.33</v>
      </c>
      <c r="P217" s="107">
        <v>1980</v>
      </c>
      <c r="R217" s="180">
        <v>1980</v>
      </c>
      <c r="S217" s="89" t="s">
        <v>603</v>
      </c>
    </row>
    <row r="218" spans="2:19">
      <c r="B218" s="89">
        <v>212</v>
      </c>
      <c r="C218" s="89" t="s">
        <v>432</v>
      </c>
      <c r="D218" s="111" t="s">
        <v>1935</v>
      </c>
      <c r="E218" s="201"/>
      <c r="F218" s="176"/>
      <c r="G218" s="177"/>
      <c r="H218" s="177"/>
      <c r="I218" s="177"/>
      <c r="J218" s="177"/>
      <c r="K218" s="177"/>
      <c r="L218" s="177"/>
      <c r="M218" s="89">
        <v>190</v>
      </c>
      <c r="N218" s="89"/>
      <c r="O218" s="89"/>
      <c r="P218" s="107"/>
      <c r="R218" s="180">
        <v>190</v>
      </c>
      <c r="S218" s="89" t="s">
        <v>602</v>
      </c>
    </row>
    <row r="219" spans="2:19">
      <c r="B219" s="89">
        <v>213</v>
      </c>
      <c r="C219" s="89" t="s">
        <v>433</v>
      </c>
      <c r="D219" s="111" t="s">
        <v>1801</v>
      </c>
      <c r="E219" s="201"/>
      <c r="F219" s="176"/>
      <c r="G219" s="177"/>
      <c r="H219" s="177"/>
      <c r="I219" s="177"/>
      <c r="J219" s="177">
        <v>5</v>
      </c>
      <c r="K219" s="177"/>
      <c r="L219" s="177"/>
      <c r="M219" s="89"/>
      <c r="N219" s="89"/>
      <c r="O219" s="89"/>
      <c r="P219" s="107"/>
      <c r="R219" s="180"/>
      <c r="S219" s="89"/>
    </row>
    <row r="220" spans="2:19">
      <c r="B220" s="89">
        <v>214</v>
      </c>
      <c r="C220" s="89" t="s">
        <v>434</v>
      </c>
      <c r="D220" s="111" t="s">
        <v>1712</v>
      </c>
      <c r="E220" s="201"/>
      <c r="F220" s="176"/>
      <c r="G220" s="177"/>
      <c r="H220" s="177"/>
      <c r="I220" s="177"/>
      <c r="J220" s="177"/>
      <c r="K220" s="177"/>
      <c r="L220" s="177"/>
      <c r="M220" s="89"/>
      <c r="N220" s="89"/>
      <c r="O220" s="89">
        <v>0.03</v>
      </c>
      <c r="P220" s="107">
        <v>180</v>
      </c>
      <c r="R220" s="180">
        <v>180</v>
      </c>
      <c r="S220" s="89" t="s">
        <v>603</v>
      </c>
    </row>
    <row r="221" spans="2:19" ht="30">
      <c r="B221" s="89">
        <v>215</v>
      </c>
      <c r="C221" s="89" t="s">
        <v>435</v>
      </c>
      <c r="D221" s="454" t="s">
        <v>1717</v>
      </c>
      <c r="F221" s="176">
        <v>0.1</v>
      </c>
      <c r="G221" s="177"/>
      <c r="H221" s="177"/>
      <c r="I221" s="177"/>
      <c r="J221" s="177"/>
      <c r="K221" s="177"/>
      <c r="L221" s="177"/>
      <c r="M221" s="89">
        <v>350</v>
      </c>
      <c r="N221" s="89"/>
      <c r="O221" s="89"/>
      <c r="P221" s="107"/>
      <c r="R221" s="180">
        <v>0.1</v>
      </c>
      <c r="S221" s="89" t="s">
        <v>598</v>
      </c>
    </row>
    <row r="222" spans="2:19">
      <c r="B222" s="89">
        <v>216</v>
      </c>
      <c r="C222" s="89" t="s">
        <v>436</v>
      </c>
      <c r="D222" s="454" t="s">
        <v>1809</v>
      </c>
      <c r="F222" s="176">
        <v>0.1</v>
      </c>
      <c r="G222" s="177"/>
      <c r="H222" s="177"/>
      <c r="I222" s="177"/>
      <c r="J222" s="177"/>
      <c r="K222" s="177">
        <v>20</v>
      </c>
      <c r="L222" s="177"/>
      <c r="M222" s="89">
        <v>44</v>
      </c>
      <c r="N222" s="89"/>
      <c r="O222" s="89"/>
      <c r="P222" s="107"/>
      <c r="R222" s="180">
        <v>0.1</v>
      </c>
      <c r="S222" s="89" t="s">
        <v>598</v>
      </c>
    </row>
    <row r="223" spans="2:19">
      <c r="B223" s="89">
        <v>217</v>
      </c>
      <c r="C223" s="89" t="s">
        <v>437</v>
      </c>
      <c r="D223" s="454" t="s">
        <v>1810</v>
      </c>
      <c r="F223" s="176">
        <v>0.1</v>
      </c>
      <c r="G223" s="177"/>
      <c r="H223" s="177"/>
      <c r="I223" s="177"/>
      <c r="J223" s="177"/>
      <c r="K223" s="177">
        <v>20</v>
      </c>
      <c r="L223" s="177"/>
      <c r="M223" s="89">
        <v>44</v>
      </c>
      <c r="N223" s="89"/>
      <c r="O223" s="89"/>
      <c r="P223" s="107"/>
      <c r="R223" s="180">
        <v>0.1</v>
      </c>
      <c r="S223" s="89" t="s">
        <v>598</v>
      </c>
    </row>
    <row r="224" spans="2:19">
      <c r="B224" s="89">
        <v>218</v>
      </c>
      <c r="C224" s="89" t="s">
        <v>438</v>
      </c>
      <c r="D224" s="454" t="s">
        <v>1883</v>
      </c>
      <c r="F224" s="176">
        <v>0.1</v>
      </c>
      <c r="G224" s="177"/>
      <c r="H224" s="177"/>
      <c r="I224" s="177"/>
      <c r="J224" s="177"/>
      <c r="K224" s="177"/>
      <c r="L224" s="177"/>
      <c r="M224" s="89" t="s">
        <v>613</v>
      </c>
      <c r="N224" s="89"/>
      <c r="O224" s="89"/>
      <c r="P224" s="107"/>
      <c r="R224" s="180">
        <v>0.1</v>
      </c>
      <c r="S224" s="89" t="s">
        <v>598</v>
      </c>
    </row>
    <row r="225" spans="2:19" ht="33" customHeight="1">
      <c r="B225" s="89">
        <v>219</v>
      </c>
      <c r="C225" s="89" t="s">
        <v>439</v>
      </c>
      <c r="D225" s="454" t="s">
        <v>1886</v>
      </c>
      <c r="F225" s="176">
        <v>0.1</v>
      </c>
      <c r="G225" s="177"/>
      <c r="H225" s="177"/>
      <c r="I225" s="177"/>
      <c r="J225" s="177"/>
      <c r="K225" s="177"/>
      <c r="L225" s="177"/>
      <c r="M225" s="89" t="s">
        <v>613</v>
      </c>
      <c r="N225" s="89"/>
      <c r="O225" s="89"/>
      <c r="P225" s="107"/>
      <c r="R225" s="180">
        <v>0.1</v>
      </c>
      <c r="S225" s="89" t="s">
        <v>598</v>
      </c>
    </row>
    <row r="226" spans="2:19">
      <c r="B226" s="89">
        <v>220</v>
      </c>
      <c r="C226" s="89" t="s">
        <v>440</v>
      </c>
      <c r="D226" s="454" t="s">
        <v>1832</v>
      </c>
      <c r="F226" s="176">
        <v>0.1</v>
      </c>
      <c r="G226" s="177"/>
      <c r="H226" s="177"/>
      <c r="I226" s="177"/>
      <c r="J226" s="177"/>
      <c r="K226" s="177">
        <v>700</v>
      </c>
      <c r="L226" s="177"/>
      <c r="M226" s="89">
        <v>2000</v>
      </c>
      <c r="N226" s="89"/>
      <c r="O226" s="89"/>
      <c r="P226" s="107"/>
      <c r="R226" s="180">
        <v>0.1</v>
      </c>
      <c r="S226" s="89" t="s">
        <v>598</v>
      </c>
    </row>
    <row r="227" spans="2:19">
      <c r="B227" s="89">
        <v>221</v>
      </c>
      <c r="C227" s="89" t="s">
        <v>441</v>
      </c>
      <c r="D227" s="454" t="s">
        <v>1869</v>
      </c>
      <c r="F227" s="176">
        <v>0.1</v>
      </c>
      <c r="G227" s="177"/>
      <c r="H227" s="177"/>
      <c r="I227" s="177"/>
      <c r="J227" s="177"/>
      <c r="K227" s="177"/>
      <c r="L227" s="177"/>
      <c r="M227" s="89">
        <v>1600</v>
      </c>
      <c r="N227" s="89"/>
      <c r="O227" s="89"/>
      <c r="P227" s="107"/>
      <c r="R227" s="180">
        <v>0.1</v>
      </c>
      <c r="S227" s="89" t="s">
        <v>598</v>
      </c>
    </row>
    <row r="228" spans="2:19">
      <c r="B228" s="89">
        <v>222</v>
      </c>
      <c r="C228" s="89" t="s">
        <v>442</v>
      </c>
      <c r="D228" s="454" t="s">
        <v>1757</v>
      </c>
      <c r="F228" s="176">
        <v>0.1</v>
      </c>
      <c r="G228" s="177"/>
      <c r="H228" s="177"/>
      <c r="I228" s="177"/>
      <c r="J228" s="177"/>
      <c r="K228" s="177"/>
      <c r="L228" s="177"/>
      <c r="M228" s="89">
        <v>460</v>
      </c>
      <c r="N228" s="89"/>
      <c r="O228" s="89"/>
      <c r="P228" s="107"/>
      <c r="R228" s="180">
        <v>0.1</v>
      </c>
      <c r="S228" s="89" t="s">
        <v>598</v>
      </c>
    </row>
    <row r="229" spans="2:19">
      <c r="B229" s="89">
        <v>223</v>
      </c>
      <c r="C229" s="89" t="s">
        <v>443</v>
      </c>
      <c r="D229" s="454" t="s">
        <v>1864</v>
      </c>
      <c r="F229" s="176">
        <v>0.1</v>
      </c>
      <c r="G229" s="177"/>
      <c r="H229" s="177"/>
      <c r="I229" s="177">
        <v>6</v>
      </c>
      <c r="J229" s="177"/>
      <c r="K229" s="177"/>
      <c r="L229" s="177"/>
      <c r="M229" s="89">
        <v>30</v>
      </c>
      <c r="N229" s="89"/>
      <c r="O229" s="89"/>
      <c r="P229" s="107"/>
      <c r="R229" s="180">
        <v>0.1</v>
      </c>
      <c r="S229" s="89" t="s">
        <v>598</v>
      </c>
    </row>
    <row r="230" spans="2:19">
      <c r="B230" s="89">
        <v>224</v>
      </c>
      <c r="C230" s="89" t="s">
        <v>444</v>
      </c>
      <c r="D230" s="454" t="s">
        <v>1909</v>
      </c>
      <c r="F230" s="176">
        <v>0.1</v>
      </c>
      <c r="G230" s="177"/>
      <c r="H230" s="177"/>
      <c r="I230" s="177"/>
      <c r="J230" s="177"/>
      <c r="K230" s="177"/>
      <c r="L230" s="177"/>
      <c r="M230" s="89" t="s">
        <v>613</v>
      </c>
      <c r="N230" s="89"/>
      <c r="O230" s="89"/>
      <c r="P230" s="107"/>
      <c r="R230" s="180">
        <v>0.1</v>
      </c>
      <c r="S230" s="89" t="s">
        <v>598</v>
      </c>
    </row>
    <row r="231" spans="2:19">
      <c r="B231" s="89">
        <v>225</v>
      </c>
      <c r="C231" s="89" t="s">
        <v>445</v>
      </c>
      <c r="D231" s="454" t="s">
        <v>1939</v>
      </c>
      <c r="F231" s="176">
        <v>0.1</v>
      </c>
      <c r="G231" s="177"/>
      <c r="H231" s="177"/>
      <c r="I231" s="177"/>
      <c r="J231" s="177"/>
      <c r="K231" s="177"/>
      <c r="L231" s="177"/>
      <c r="M231" s="89">
        <v>11</v>
      </c>
      <c r="N231" s="89"/>
      <c r="O231" s="89"/>
      <c r="P231" s="107"/>
      <c r="R231" s="180">
        <v>0.1</v>
      </c>
      <c r="S231" s="89" t="s">
        <v>598</v>
      </c>
    </row>
    <row r="232" spans="2:19">
      <c r="B232" s="89">
        <v>226</v>
      </c>
      <c r="C232" s="89" t="s">
        <v>446</v>
      </c>
      <c r="D232" s="454" t="s">
        <v>1726</v>
      </c>
      <c r="F232" s="176">
        <v>0.1</v>
      </c>
      <c r="G232" s="177"/>
      <c r="H232" s="177"/>
      <c r="I232" s="177"/>
      <c r="J232" s="177"/>
      <c r="K232" s="177"/>
      <c r="L232" s="177"/>
      <c r="M232" s="89" t="s">
        <v>613</v>
      </c>
      <c r="N232" s="89"/>
      <c r="O232" s="89"/>
      <c r="P232" s="107"/>
      <c r="R232" s="180">
        <v>0.1</v>
      </c>
      <c r="S232" s="89" t="s">
        <v>598</v>
      </c>
    </row>
    <row r="233" spans="2:19">
      <c r="B233" s="89">
        <v>227</v>
      </c>
      <c r="C233" s="89" t="s">
        <v>447</v>
      </c>
      <c r="D233" s="454" t="s">
        <v>1779</v>
      </c>
      <c r="F233" s="176">
        <v>0.1</v>
      </c>
      <c r="G233" s="177"/>
      <c r="H233" s="177"/>
      <c r="I233" s="177"/>
      <c r="J233" s="177"/>
      <c r="K233" s="177"/>
      <c r="L233" s="177"/>
      <c r="M233" s="89" t="s">
        <v>613</v>
      </c>
      <c r="N233" s="89"/>
      <c r="O233" s="89"/>
      <c r="P233" s="107"/>
      <c r="R233" s="180">
        <v>0.1</v>
      </c>
      <c r="S233" s="89" t="s">
        <v>598</v>
      </c>
    </row>
    <row r="234" spans="2:19">
      <c r="B234" s="89">
        <v>228</v>
      </c>
      <c r="C234" s="89" t="s">
        <v>449</v>
      </c>
      <c r="D234" s="454" t="s">
        <v>1786</v>
      </c>
      <c r="F234" s="176">
        <v>0.1</v>
      </c>
      <c r="G234" s="177"/>
      <c r="H234" s="177"/>
      <c r="I234" s="177"/>
      <c r="J234" s="177"/>
      <c r="K234" s="177"/>
      <c r="L234" s="177"/>
      <c r="M234" s="89">
        <v>0.54</v>
      </c>
      <c r="N234" s="89"/>
      <c r="O234" s="89"/>
      <c r="P234" s="107"/>
      <c r="R234" s="180">
        <v>0.1</v>
      </c>
      <c r="S234" s="89" t="s">
        <v>598</v>
      </c>
    </row>
    <row r="235" spans="2:19">
      <c r="B235" s="89">
        <v>229</v>
      </c>
      <c r="C235" s="89" t="s">
        <v>450</v>
      </c>
      <c r="D235" s="454" t="s">
        <v>1915</v>
      </c>
      <c r="F235" s="176">
        <v>0.1</v>
      </c>
      <c r="G235" s="177"/>
      <c r="H235" s="177"/>
      <c r="I235" s="177"/>
      <c r="J235" s="177"/>
      <c r="K235" s="177"/>
      <c r="L235" s="177"/>
      <c r="M235" s="89">
        <v>380</v>
      </c>
      <c r="N235" s="89"/>
      <c r="O235" s="89"/>
      <c r="P235" s="107"/>
      <c r="R235" s="180">
        <v>0.1</v>
      </c>
      <c r="S235" s="89" t="s">
        <v>598</v>
      </c>
    </row>
    <row r="236" spans="2:19" ht="30">
      <c r="B236" s="89">
        <v>230</v>
      </c>
      <c r="C236" s="89" t="s">
        <v>451</v>
      </c>
      <c r="D236" s="454" t="s">
        <v>1819</v>
      </c>
      <c r="F236" s="176">
        <v>0.1</v>
      </c>
      <c r="G236" s="177"/>
      <c r="H236" s="177"/>
      <c r="I236" s="177"/>
      <c r="J236" s="177"/>
      <c r="K236" s="177"/>
      <c r="L236" s="177"/>
      <c r="M236" s="89" t="s">
        <v>613</v>
      </c>
      <c r="N236" s="89"/>
      <c r="O236" s="89"/>
      <c r="P236" s="107"/>
      <c r="R236" s="180">
        <v>0.1</v>
      </c>
      <c r="S236" s="89" t="s">
        <v>598</v>
      </c>
    </row>
    <row r="237" spans="2:19">
      <c r="B237" s="89">
        <v>231</v>
      </c>
      <c r="C237" s="89" t="s">
        <v>452</v>
      </c>
      <c r="D237" s="454" t="s">
        <v>1822</v>
      </c>
      <c r="F237" s="176">
        <v>0.1</v>
      </c>
      <c r="G237" s="177"/>
      <c r="H237" s="177"/>
      <c r="I237" s="177"/>
      <c r="J237" s="177"/>
      <c r="K237" s="177"/>
      <c r="L237" s="177"/>
      <c r="M237" s="89" t="s">
        <v>613</v>
      </c>
      <c r="N237" s="89"/>
      <c r="O237" s="89"/>
      <c r="P237" s="107"/>
      <c r="R237" s="180">
        <v>0.1</v>
      </c>
      <c r="S237" s="89" t="s">
        <v>598</v>
      </c>
    </row>
    <row r="238" spans="2:19">
      <c r="B238" s="89">
        <v>232</v>
      </c>
      <c r="C238" s="89" t="s">
        <v>453</v>
      </c>
      <c r="D238" s="454" t="s">
        <v>1882</v>
      </c>
      <c r="F238" s="176">
        <v>0.1</v>
      </c>
      <c r="G238" s="177"/>
      <c r="H238" s="177"/>
      <c r="I238" s="177"/>
      <c r="J238" s="177"/>
      <c r="K238" s="177"/>
      <c r="L238" s="177"/>
      <c r="M238" s="89" t="s">
        <v>613</v>
      </c>
      <c r="N238" s="89"/>
      <c r="O238" s="89"/>
      <c r="P238" s="107"/>
      <c r="R238" s="180">
        <v>0.1</v>
      </c>
      <c r="S238" s="89" t="s">
        <v>598</v>
      </c>
    </row>
    <row r="239" spans="2:19">
      <c r="B239" s="89">
        <v>233</v>
      </c>
      <c r="C239" s="89" t="s">
        <v>454</v>
      </c>
      <c r="D239" s="454" t="s">
        <v>1894</v>
      </c>
      <c r="F239" s="176">
        <v>0.1</v>
      </c>
      <c r="G239" s="177"/>
      <c r="H239" s="177"/>
      <c r="I239" s="177"/>
      <c r="J239" s="177"/>
      <c r="K239" s="177"/>
      <c r="L239" s="177"/>
      <c r="M239" s="89">
        <v>560</v>
      </c>
      <c r="N239" s="89"/>
      <c r="O239" s="89"/>
      <c r="P239" s="107"/>
      <c r="R239" s="180">
        <v>0.1</v>
      </c>
      <c r="S239" s="89" t="s">
        <v>598</v>
      </c>
    </row>
    <row r="240" spans="2:19">
      <c r="B240" s="384">
        <v>234</v>
      </c>
      <c r="C240" s="384" t="s">
        <v>455</v>
      </c>
      <c r="D240" s="454" t="s">
        <v>1917</v>
      </c>
      <c r="F240" s="176"/>
      <c r="G240" s="177"/>
      <c r="H240" s="177"/>
      <c r="I240" s="177"/>
      <c r="J240" s="177"/>
      <c r="K240" s="177"/>
      <c r="L240" s="177"/>
      <c r="M240" s="89"/>
      <c r="N240" s="89"/>
      <c r="O240" s="89"/>
      <c r="P240" s="107"/>
      <c r="R240" s="180"/>
      <c r="S240" s="89"/>
    </row>
    <row r="241" spans="2:19">
      <c r="B241" s="384">
        <v>235</v>
      </c>
      <c r="C241" s="384" t="s">
        <v>456</v>
      </c>
      <c r="D241" s="454" t="s">
        <v>1936</v>
      </c>
      <c r="F241" s="176"/>
      <c r="G241" s="177"/>
      <c r="H241" s="177"/>
      <c r="I241" s="177"/>
      <c r="J241" s="177"/>
      <c r="K241" s="177"/>
      <c r="L241" s="177"/>
      <c r="M241" s="89"/>
      <c r="N241" s="89"/>
      <c r="O241" s="89"/>
      <c r="P241" s="107"/>
      <c r="R241" s="180"/>
      <c r="S241" s="89"/>
    </row>
    <row r="242" spans="2:19" s="374" customFormat="1">
      <c r="B242" s="384">
        <v>237</v>
      </c>
      <c r="C242" s="384" t="s">
        <v>457</v>
      </c>
      <c r="D242" s="454" t="s">
        <v>1824</v>
      </c>
      <c r="E242" s="199"/>
      <c r="F242" s="176"/>
      <c r="G242" s="177"/>
      <c r="H242" s="177"/>
      <c r="I242" s="177"/>
      <c r="J242" s="177"/>
      <c r="K242" s="177"/>
      <c r="L242" s="177"/>
      <c r="M242" s="375">
        <v>40000</v>
      </c>
      <c r="N242" s="375">
        <v>5500</v>
      </c>
      <c r="O242" s="375">
        <v>2</v>
      </c>
      <c r="P242" s="107"/>
      <c r="Q242" s="179"/>
      <c r="R242" s="180">
        <v>40000</v>
      </c>
      <c r="S242" s="375" t="s">
        <v>614</v>
      </c>
    </row>
    <row r="243" spans="2:19" s="374" customFormat="1">
      <c r="B243" s="384">
        <v>238</v>
      </c>
      <c r="C243" s="384" t="s">
        <v>1546</v>
      </c>
      <c r="D243" s="420" t="s">
        <v>1798</v>
      </c>
      <c r="E243" s="199"/>
      <c r="F243" s="378"/>
      <c r="G243" s="378"/>
      <c r="H243" s="378"/>
      <c r="I243" s="378"/>
      <c r="J243" s="378"/>
      <c r="K243" s="378"/>
      <c r="L243" s="378"/>
      <c r="M243" s="378">
        <v>35</v>
      </c>
      <c r="N243" s="378"/>
      <c r="O243" s="380">
        <v>2E-3</v>
      </c>
      <c r="P243" s="380">
        <v>12</v>
      </c>
      <c r="Q243" s="179"/>
      <c r="R243" s="392">
        <v>35</v>
      </c>
      <c r="S243" s="383" t="s">
        <v>602</v>
      </c>
    </row>
    <row r="244" spans="2:19" s="374" customFormat="1">
      <c r="B244" s="384">
        <v>239</v>
      </c>
      <c r="C244" s="384" t="s">
        <v>1547</v>
      </c>
      <c r="D244" s="543" t="s">
        <v>1791</v>
      </c>
      <c r="E244" s="199"/>
      <c r="F244" s="378"/>
      <c r="G244" s="378"/>
      <c r="H244" s="378"/>
      <c r="I244" s="378"/>
      <c r="J244" s="378"/>
      <c r="K244" s="378"/>
      <c r="L244" s="378"/>
      <c r="M244" s="380"/>
      <c r="N244" s="378"/>
      <c r="O244" s="378"/>
      <c r="P244" s="380"/>
      <c r="Q244" s="179"/>
      <c r="R244" s="392"/>
      <c r="S244" s="392"/>
    </row>
    <row r="245" spans="2:19" s="374" customFormat="1">
      <c r="B245" s="384">
        <v>240</v>
      </c>
      <c r="C245" s="384" t="s">
        <v>1548</v>
      </c>
      <c r="D245" s="543" t="s">
        <v>1859</v>
      </c>
      <c r="E245" s="199"/>
      <c r="F245" s="378"/>
      <c r="G245" s="378"/>
      <c r="H245" s="378"/>
      <c r="I245" s="378"/>
      <c r="J245" s="378"/>
      <c r="K245" s="378"/>
      <c r="L245" s="378"/>
      <c r="M245" s="380"/>
      <c r="N245" s="378"/>
      <c r="O245" s="378"/>
      <c r="P245" s="380"/>
      <c r="Q245" s="179"/>
      <c r="R245" s="392"/>
      <c r="S245" s="392"/>
    </row>
    <row r="246" spans="2:19" s="374" customFormat="1">
      <c r="B246" s="384">
        <v>241</v>
      </c>
      <c r="C246" s="384" t="s">
        <v>1549</v>
      </c>
      <c r="D246" s="543" t="s">
        <v>1582</v>
      </c>
      <c r="E246" s="199"/>
      <c r="F246" s="378"/>
      <c r="G246" s="378"/>
      <c r="H246" s="378"/>
      <c r="I246" s="378"/>
      <c r="J246" s="378"/>
      <c r="K246" s="378"/>
      <c r="L246" s="378"/>
      <c r="M246" s="379">
        <v>4.7</v>
      </c>
      <c r="N246" s="378"/>
      <c r="O246" s="380">
        <v>5.5500000000000001E-5</v>
      </c>
      <c r="P246" s="380">
        <v>0.33300000000000002</v>
      </c>
      <c r="Q246" s="179"/>
      <c r="R246" s="392">
        <v>4.7</v>
      </c>
      <c r="S246" s="383" t="s">
        <v>602</v>
      </c>
    </row>
    <row r="247" spans="2:19" s="374" customFormat="1">
      <c r="B247" s="384">
        <v>242</v>
      </c>
      <c r="C247" s="384" t="s">
        <v>1550</v>
      </c>
      <c r="D247" s="543" t="s">
        <v>1830</v>
      </c>
      <c r="E247" s="199"/>
      <c r="F247" s="378"/>
      <c r="G247" s="378"/>
      <c r="H247" s="378"/>
      <c r="I247" s="378"/>
      <c r="J247" s="378"/>
      <c r="K247" s="378"/>
      <c r="L247" s="378"/>
      <c r="M247" s="380"/>
      <c r="N247" s="378"/>
      <c r="O247" s="378"/>
      <c r="P247" s="378"/>
      <c r="Q247" s="179"/>
      <c r="R247" s="391"/>
      <c r="S247" s="391"/>
    </row>
    <row r="248" spans="2:19" s="374" customFormat="1">
      <c r="B248" s="384">
        <v>243</v>
      </c>
      <c r="C248" s="384" t="s">
        <v>1572</v>
      </c>
      <c r="D248" s="420" t="s">
        <v>1655</v>
      </c>
      <c r="E248" s="199"/>
      <c r="F248" s="176"/>
      <c r="G248" s="177"/>
      <c r="H248" s="177"/>
      <c r="I248" s="177"/>
      <c r="J248" s="177"/>
      <c r="K248" s="177"/>
      <c r="L248" s="177"/>
      <c r="M248" s="375"/>
      <c r="N248" s="375"/>
      <c r="O248" s="375"/>
      <c r="P248" s="107"/>
      <c r="Q248" s="179"/>
      <c r="R248" s="180"/>
      <c r="S248" s="375"/>
    </row>
    <row r="249" spans="2:19" s="426" customFormat="1">
      <c r="B249" s="394">
        <v>244</v>
      </c>
      <c r="C249" s="390" t="s">
        <v>1583</v>
      </c>
      <c r="D249" s="454" t="s">
        <v>1592</v>
      </c>
      <c r="E249" s="199"/>
      <c r="F249" s="176"/>
      <c r="G249" s="177"/>
      <c r="H249" s="177"/>
      <c r="I249" s="177"/>
      <c r="J249" s="177"/>
      <c r="K249" s="177"/>
      <c r="L249" s="177"/>
      <c r="M249" s="384"/>
      <c r="N249" s="384"/>
      <c r="O249" s="384"/>
      <c r="P249" s="107"/>
      <c r="Q249" s="179"/>
      <c r="R249" s="180"/>
      <c r="S249" s="384"/>
    </row>
    <row r="250" spans="2:19" s="426" customFormat="1">
      <c r="B250" s="394">
        <v>245</v>
      </c>
      <c r="C250" s="390" t="s">
        <v>1584</v>
      </c>
      <c r="D250" s="454" t="s">
        <v>1638</v>
      </c>
      <c r="E250" s="199"/>
      <c r="F250" s="176"/>
      <c r="G250" s="177"/>
      <c r="H250" s="177"/>
      <c r="I250" s="177"/>
      <c r="J250" s="177"/>
      <c r="K250" s="177"/>
      <c r="L250" s="177"/>
      <c r="M250" s="384"/>
      <c r="N250" s="384"/>
      <c r="O250" s="384"/>
      <c r="P250" s="107"/>
      <c r="Q250" s="179"/>
      <c r="R250" s="180"/>
      <c r="S250" s="384"/>
    </row>
    <row r="251" spans="2:19" s="426" customFormat="1">
      <c r="B251" s="394">
        <v>246</v>
      </c>
      <c r="C251" s="390" t="s">
        <v>1585</v>
      </c>
      <c r="D251" s="454" t="s">
        <v>1683</v>
      </c>
      <c r="E251" s="199"/>
      <c r="F251" s="176"/>
      <c r="G251" s="177"/>
      <c r="H251" s="177"/>
      <c r="I251" s="177"/>
      <c r="J251" s="177"/>
      <c r="K251" s="177"/>
      <c r="L251" s="177"/>
      <c r="M251" s="384"/>
      <c r="N251" s="384"/>
      <c r="O251" s="384"/>
      <c r="P251" s="107"/>
      <c r="Q251" s="179"/>
      <c r="R251" s="180"/>
      <c r="S251" s="384"/>
    </row>
    <row r="252" spans="2:19" s="426" customFormat="1">
      <c r="B252" s="394">
        <v>247</v>
      </c>
      <c r="C252" s="390" t="s">
        <v>1586</v>
      </c>
      <c r="D252" s="454" t="s">
        <v>1626</v>
      </c>
      <c r="E252" s="199"/>
      <c r="F252" s="176"/>
      <c r="G252" s="177"/>
      <c r="H252" s="177"/>
      <c r="I252" s="177"/>
      <c r="J252" s="177"/>
      <c r="K252" s="177"/>
      <c r="L252" s="177"/>
      <c r="M252" s="384"/>
      <c r="N252" s="384"/>
      <c r="O252" s="384"/>
      <c r="P252" s="107"/>
      <c r="Q252" s="179"/>
      <c r="R252" s="180"/>
      <c r="S252" s="384"/>
    </row>
    <row r="253" spans="2:19" s="426" customFormat="1">
      <c r="B253" s="394">
        <v>248</v>
      </c>
      <c r="C253" s="390" t="s">
        <v>1587</v>
      </c>
      <c r="D253" s="454" t="s">
        <v>1594</v>
      </c>
      <c r="E253" s="199"/>
      <c r="F253" s="176"/>
      <c r="G253" s="177"/>
      <c r="H253" s="177"/>
      <c r="I253" s="177"/>
      <c r="J253" s="177"/>
      <c r="K253" s="177"/>
      <c r="L253" s="177"/>
      <c r="M253" s="384"/>
      <c r="N253" s="384"/>
      <c r="O253" s="384"/>
      <c r="P253" s="107"/>
      <c r="Q253" s="179"/>
      <c r="R253" s="180"/>
      <c r="S253" s="384"/>
    </row>
    <row r="254" spans="2:19" s="426" customFormat="1">
      <c r="B254" s="394">
        <v>249</v>
      </c>
      <c r="C254" s="390" t="s">
        <v>1588</v>
      </c>
      <c r="D254" s="454" t="s">
        <v>1596</v>
      </c>
      <c r="E254" s="199"/>
      <c r="F254" s="176"/>
      <c r="G254" s="177"/>
      <c r="H254" s="177"/>
      <c r="I254" s="177"/>
      <c r="J254" s="177"/>
      <c r="K254" s="177"/>
      <c r="L254" s="177"/>
      <c r="M254" s="384"/>
      <c r="N254" s="384"/>
      <c r="O254" s="384"/>
      <c r="P254" s="107"/>
      <c r="Q254" s="179"/>
      <c r="R254" s="180"/>
      <c r="S254" s="384"/>
    </row>
    <row r="255" spans="2:19" s="426" customFormat="1">
      <c r="B255" s="394">
        <v>250</v>
      </c>
      <c r="C255" s="390" t="s">
        <v>1589</v>
      </c>
      <c r="D255" s="454" t="s">
        <v>1687</v>
      </c>
      <c r="E255" s="199"/>
      <c r="F255" s="176"/>
      <c r="G255" s="177"/>
      <c r="H255" s="177"/>
      <c r="I255" s="177"/>
      <c r="J255" s="177"/>
      <c r="K255" s="177"/>
      <c r="L255" s="177"/>
      <c r="M255" s="384"/>
      <c r="N255" s="384"/>
      <c r="O255" s="384"/>
      <c r="P255" s="107"/>
      <c r="Q255" s="179"/>
      <c r="R255" s="180"/>
      <c r="S255" s="384"/>
    </row>
    <row r="256" spans="2:19" s="426" customFormat="1">
      <c r="B256" s="394">
        <v>251</v>
      </c>
      <c r="C256" s="390" t="s">
        <v>1590</v>
      </c>
      <c r="D256" s="454" t="s">
        <v>1677</v>
      </c>
      <c r="E256" s="199"/>
      <c r="F256" s="176"/>
      <c r="G256" s="177"/>
      <c r="H256" s="177"/>
      <c r="I256" s="177"/>
      <c r="J256" s="177"/>
      <c r="K256" s="177"/>
      <c r="L256" s="177"/>
      <c r="M256" s="384"/>
      <c r="N256" s="384"/>
      <c r="O256" s="384"/>
      <c r="P256" s="107"/>
      <c r="Q256" s="179"/>
      <c r="R256" s="180"/>
      <c r="S256" s="384"/>
    </row>
    <row r="257" spans="2:19" s="426" customFormat="1">
      <c r="B257" s="394">
        <v>252</v>
      </c>
      <c r="C257" s="390" t="s">
        <v>1591</v>
      </c>
      <c r="D257" s="454" t="s">
        <v>1595</v>
      </c>
      <c r="E257" s="199"/>
      <c r="F257" s="176"/>
      <c r="G257" s="177"/>
      <c r="H257" s="177"/>
      <c r="I257" s="177"/>
      <c r="J257" s="177"/>
      <c r="K257" s="177"/>
      <c r="L257" s="177"/>
      <c r="M257" s="384"/>
      <c r="N257" s="384"/>
      <c r="O257" s="384"/>
      <c r="P257" s="107"/>
      <c r="Q257" s="179"/>
      <c r="R257" s="180"/>
      <c r="S257" s="384"/>
    </row>
    <row r="258" spans="2:19" s="426" customFormat="1">
      <c r="B258" s="384">
        <v>253</v>
      </c>
      <c r="C258" s="384" t="s">
        <v>1598</v>
      </c>
      <c r="D258" s="523" t="s">
        <v>1599</v>
      </c>
      <c r="E258" s="199"/>
      <c r="F258" s="176"/>
      <c r="G258" s="177"/>
      <c r="H258" s="177"/>
      <c r="I258" s="177"/>
      <c r="J258" s="177"/>
      <c r="K258" s="177"/>
      <c r="L258" s="177"/>
      <c r="M258" s="384">
        <v>1500</v>
      </c>
      <c r="N258" s="384"/>
      <c r="O258" s="384"/>
      <c r="P258" s="107"/>
      <c r="Q258" s="179"/>
      <c r="R258" s="180">
        <v>1500</v>
      </c>
      <c r="S258" s="427" t="s">
        <v>602</v>
      </c>
    </row>
    <row r="259" spans="2:19" s="426" customFormat="1">
      <c r="B259" s="390">
        <v>254</v>
      </c>
      <c r="C259" s="385" t="s">
        <v>1951</v>
      </c>
      <c r="D259" s="544" t="s">
        <v>1955</v>
      </c>
      <c r="E259" s="199"/>
      <c r="F259" s="176"/>
      <c r="G259" s="177"/>
      <c r="H259" s="177"/>
      <c r="I259" s="177"/>
      <c r="J259" s="177"/>
      <c r="K259" s="177"/>
      <c r="L259" s="177"/>
      <c r="M259" s="384"/>
      <c r="N259" s="384"/>
      <c r="O259" s="384"/>
      <c r="P259" s="107"/>
      <c r="Q259" s="179"/>
      <c r="R259" s="180" t="s">
        <v>1960</v>
      </c>
      <c r="S259" s="384"/>
    </row>
    <row r="260" spans="2:19" s="426" customFormat="1">
      <c r="B260" s="390">
        <v>255</v>
      </c>
      <c r="C260" s="385" t="s">
        <v>1952</v>
      </c>
      <c r="D260" s="544" t="s">
        <v>1956</v>
      </c>
      <c r="E260" s="199"/>
      <c r="F260" s="176"/>
      <c r="G260" s="177"/>
      <c r="H260" s="177"/>
      <c r="I260" s="177"/>
      <c r="J260" s="177"/>
      <c r="K260" s="177"/>
      <c r="L260" s="177"/>
      <c r="M260" s="384"/>
      <c r="N260" s="384"/>
      <c r="O260" s="384"/>
      <c r="P260" s="107"/>
      <c r="Q260" s="179"/>
      <c r="R260" s="180" t="s">
        <v>1960</v>
      </c>
      <c r="S260" s="384"/>
    </row>
    <row r="261" spans="2:19" s="374" customFormat="1">
      <c r="B261" s="390">
        <v>256</v>
      </c>
      <c r="C261" s="385" t="s">
        <v>1953</v>
      </c>
      <c r="D261" s="544" t="s">
        <v>1957</v>
      </c>
      <c r="E261" s="199"/>
      <c r="F261" s="176"/>
      <c r="G261" s="177"/>
      <c r="H261" s="177"/>
      <c r="I261" s="177"/>
      <c r="J261" s="177"/>
      <c r="K261" s="177"/>
      <c r="L261" s="177"/>
      <c r="M261" s="375"/>
      <c r="N261" s="375"/>
      <c r="O261" s="375"/>
      <c r="P261" s="107"/>
      <c r="Q261" s="179"/>
      <c r="R261" s="180" t="s">
        <v>1960</v>
      </c>
      <c r="S261" s="375"/>
    </row>
    <row r="262" spans="2:19" s="374" customFormat="1">
      <c r="B262" s="390">
        <v>257</v>
      </c>
      <c r="C262" s="385" t="s">
        <v>1954</v>
      </c>
      <c r="D262" s="544" t="s">
        <v>1958</v>
      </c>
      <c r="E262" s="199"/>
      <c r="F262" s="176"/>
      <c r="G262" s="177"/>
      <c r="H262" s="177"/>
      <c r="I262" s="177"/>
      <c r="J262" s="177"/>
      <c r="K262" s="177"/>
      <c r="L262" s="177"/>
      <c r="M262" s="375"/>
      <c r="N262" s="375"/>
      <c r="O262" s="375"/>
      <c r="P262" s="107"/>
      <c r="Q262" s="179"/>
      <c r="R262" s="180" t="s">
        <v>1960</v>
      </c>
      <c r="S262" s="375"/>
    </row>
    <row r="263" spans="2:19" s="374" customFormat="1">
      <c r="B263" s="384"/>
      <c r="C263" s="384"/>
      <c r="D263" s="202"/>
      <c r="E263" s="199"/>
      <c r="F263" s="176"/>
      <c r="G263" s="177"/>
      <c r="H263" s="177"/>
      <c r="I263" s="177"/>
      <c r="J263" s="177"/>
      <c r="K263" s="177"/>
      <c r="L263" s="177"/>
      <c r="M263" s="375"/>
      <c r="N263" s="375"/>
      <c r="O263" s="375"/>
      <c r="P263" s="107"/>
      <c r="Q263" s="179"/>
      <c r="R263" s="180"/>
      <c r="S263" s="375"/>
    </row>
    <row r="264" spans="2:19" s="374" customFormat="1">
      <c r="B264" s="375"/>
      <c r="C264" s="375"/>
      <c r="D264" s="202"/>
      <c r="E264" s="199"/>
      <c r="F264" s="176"/>
      <c r="G264" s="177"/>
      <c r="H264" s="177"/>
      <c r="I264" s="177"/>
      <c r="J264" s="177"/>
      <c r="K264" s="177"/>
      <c r="L264" s="177"/>
      <c r="M264" s="375"/>
      <c r="N264" s="375"/>
      <c r="O264" s="375"/>
      <c r="P264" s="107"/>
      <c r="Q264" s="179"/>
      <c r="R264" s="180"/>
      <c r="S264" s="375"/>
    </row>
    <row r="265" spans="2:19" s="374" customFormat="1">
      <c r="B265" s="375"/>
      <c r="C265" s="375"/>
      <c r="D265" s="202"/>
      <c r="E265" s="199"/>
      <c r="F265" s="176"/>
      <c r="G265" s="177"/>
      <c r="H265" s="177"/>
      <c r="I265" s="177"/>
      <c r="J265" s="177"/>
      <c r="K265" s="177"/>
      <c r="L265" s="177"/>
      <c r="M265" s="375"/>
      <c r="N265" s="375"/>
      <c r="O265" s="375"/>
      <c r="P265" s="107"/>
      <c r="Q265" s="179"/>
      <c r="R265" s="180"/>
      <c r="S265" s="375"/>
    </row>
    <row r="266" spans="2:19">
      <c r="B266" s="89"/>
      <c r="C266" s="89"/>
      <c r="D266" s="202"/>
      <c r="F266" s="176"/>
      <c r="G266" s="177"/>
      <c r="H266" s="177"/>
      <c r="I266" s="177"/>
      <c r="J266" s="177"/>
      <c r="K266" s="177"/>
      <c r="L266" s="177"/>
      <c r="M266" s="89"/>
      <c r="N266" s="89"/>
      <c r="O266" s="89"/>
      <c r="P266" s="107"/>
      <c r="R266" s="180"/>
      <c r="S266" s="89"/>
    </row>
  </sheetData>
  <pageMargins left="0.70866141732283472" right="0.70866141732283472" top="0.74803149606299213" bottom="0.74803149606299213" header="0.31496062992125984" footer="0.31496062992125984"/>
  <pageSetup paperSize="8" scale="56" fitToWidth="2" fitToHeight="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11</vt:i4>
      </vt:variant>
      <vt:variant>
        <vt:lpstr>Plages nommées</vt:lpstr>
      </vt:variant>
      <vt:variant>
        <vt:i4>9</vt:i4>
      </vt:variant>
    </vt:vector>
  </HeadingPairs>
  <TitlesOfParts>
    <vt:vector size="20" baseType="lpstr">
      <vt:lpstr>Introduction et jurisprudence</vt:lpstr>
      <vt:lpstr>identification PNN + codes</vt:lpstr>
      <vt:lpstr>méthodes d'analyse (1)</vt:lpstr>
      <vt:lpstr>méthodes d'analyse (2)</vt:lpstr>
      <vt:lpstr>méthodes d'analyse (3)</vt:lpstr>
      <vt:lpstr>VL - synthèse</vt:lpstr>
      <vt:lpstr>VL - détail VLH (Risc Human)</vt:lpstr>
      <vt:lpstr>VL - détail VLH (S-Risk)</vt:lpstr>
      <vt:lpstr>VL - détail VLnappe</vt:lpstr>
      <vt:lpstr>VL - détail paramètres et VTR</vt:lpstr>
      <vt:lpstr>VL - PNN sans VL</vt:lpstr>
      <vt:lpstr>'VL - détail VLH (Risc Human)'!Criteres</vt:lpstr>
      <vt:lpstr>'VL - détail VLH (S-Risk)'!Criteres</vt:lpstr>
      <vt:lpstr>'VL - détail VLH (Risc Human)'!Impression_des_titres</vt:lpstr>
      <vt:lpstr>'VL - détail VLH (S-Risk)'!Impression_des_titres</vt:lpstr>
      <vt:lpstr>'VL - détail VLnappe'!Impression_des_titres</vt:lpstr>
      <vt:lpstr>'VL - synthèse'!Impression_des_titres</vt:lpstr>
      <vt:lpstr>'VL - détail VLH (Risc Human)'!Zone_d_impression</vt:lpstr>
      <vt:lpstr>'VL - détail VLH (S-Risk)'!Zone_d_impression</vt:lpstr>
      <vt:lpstr>'VL - détail VLnappe'!Zone_d_impression</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2006-09-12T15:06:44Z</dcterms:created>
  <dcterms:modified xsi:type="dcterms:W3CDTF">2017-10-19T07:12:13Z</dcterms:modified>
</cp:coreProperties>
</file>