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arcadiso365.sharepoint.com/teams/ch-102980425/Shared Documents/Project/10_WIP/Report/FINAL (Délivrable n°1 et 2)/Délivrable n°2/Annexes/"/>
    </mc:Choice>
  </mc:AlternateContent>
  <xr:revisionPtr revIDLastSave="17112" documentId="8_{28CD9581-60EC-4A08-AB0D-F50C785D3B67}" xr6:coauthVersionLast="47" xr6:coauthVersionMax="47" xr10:uidLastSave="{96C313ED-3161-452E-811C-E7E799F07FB4}"/>
  <bookViews>
    <workbookView xWindow="28680" yWindow="-120" windowWidth="38640" windowHeight="15720" xr2:uid="{5D7DC371-11F4-45F6-A8D7-2FB55B69D4DB}"/>
  </bookViews>
  <sheets>
    <sheet name="Mode d'emploi" sheetId="14" r:id="rId1"/>
    <sheet name="DASHBOARD Recommandation" sheetId="13" r:id="rId2"/>
  </sheets>
  <definedNames>
    <definedName name="_xlnm._FilterDatabase" localSheetId="1" hidden="1">'DASHBOARD Recommandation'!$AR$4:$CX$99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98" i="13" l="1"/>
  <c r="BE98" i="13"/>
  <c r="BB98" i="13"/>
  <c r="BC98" i="13" s="1"/>
  <c r="AV98" i="13"/>
  <c r="AW98" i="13" s="1"/>
  <c r="AQ98" i="13" a="1"/>
  <c r="AQ98" i="13" s="1"/>
  <c r="AP98" i="13" a="1"/>
  <c r="AP98" i="13" s="1"/>
  <c r="AO98" i="13" a="1"/>
  <c r="AO98" i="13" s="1"/>
  <c r="AN98" i="13" a="1"/>
  <c r="AN98" i="13" s="1"/>
  <c r="AM98" i="13" a="1"/>
  <c r="AM98" i="13" s="1"/>
  <c r="AL98" i="13" a="1"/>
  <c r="AL98" i="13" s="1"/>
  <c r="AK98" i="13" a="1"/>
  <c r="AK98" i="13" s="1"/>
  <c r="AJ98" i="13" a="1"/>
  <c r="AJ98" i="13" s="1"/>
  <c r="AI98" i="13" a="1"/>
  <c r="AI98" i="13" s="1"/>
  <c r="AH98" i="13" a="1"/>
  <c r="AH98" i="13" s="1"/>
  <c r="AG98" i="13" a="1"/>
  <c r="AG98" i="13" s="1"/>
  <c r="AF98" i="13" a="1"/>
  <c r="AF98" i="13" s="1"/>
  <c r="AE98" i="13" a="1"/>
  <c r="AE98" i="13" s="1"/>
  <c r="BI5" i="13"/>
  <c r="AA6" i="13"/>
  <c r="AA8" i="13"/>
  <c r="AA9" i="13"/>
  <c r="AA10" i="13"/>
  <c r="AA11" i="13"/>
  <c r="AA12" i="13"/>
  <c r="AA13" i="13"/>
  <c r="AA14" i="13"/>
  <c r="AA15" i="13"/>
  <c r="AA19" i="13"/>
  <c r="AA21" i="13"/>
  <c r="AA23" i="13"/>
  <c r="AA24" i="13"/>
  <c r="AA25" i="13"/>
  <c r="AA27" i="13"/>
  <c r="AA28" i="13"/>
  <c r="AA30" i="13"/>
  <c r="AA36" i="13"/>
  <c r="AA45" i="13"/>
  <c r="AA46" i="13"/>
  <c r="AA47" i="13"/>
  <c r="AA48" i="13"/>
  <c r="AA49" i="13"/>
  <c r="AA51" i="13"/>
  <c r="AA52" i="13"/>
  <c r="AA53" i="13"/>
  <c r="AA54" i="13"/>
  <c r="AA55" i="13"/>
  <c r="AA56" i="13"/>
  <c r="AA57" i="13"/>
  <c r="AA58" i="13"/>
  <c r="AA59" i="13"/>
  <c r="AA60" i="13"/>
  <c r="AA68" i="13"/>
  <c r="AA70" i="13"/>
  <c r="AA73" i="13"/>
  <c r="AA74" i="13"/>
  <c r="AA90" i="13"/>
  <c r="AA91" i="13"/>
  <c r="AA92" i="13"/>
  <c r="AA93" i="13"/>
  <c r="AA94" i="13"/>
  <c r="AA95" i="13"/>
  <c r="AA96" i="13"/>
  <c r="AA97" i="13"/>
  <c r="AE5" i="13" a="1"/>
  <c r="AE5" i="13" s="1"/>
  <c r="AF5" i="13" a="1"/>
  <c r="AF5" i="13" s="1"/>
  <c r="AG5" i="13" a="1"/>
  <c r="AG5" i="13" s="1"/>
  <c r="AH5" i="13" a="1"/>
  <c r="AH5" i="13" s="1"/>
  <c r="AI5" i="13" a="1"/>
  <c r="AI5" i="13" s="1"/>
  <c r="AJ5" i="13" a="1"/>
  <c r="AJ5" i="13" s="1"/>
  <c r="AK5" i="13" a="1"/>
  <c r="AK5" i="13" s="1"/>
  <c r="AL5" i="13" a="1"/>
  <c r="AL5" i="13" s="1"/>
  <c r="AM5" i="13" a="1"/>
  <c r="AM5" i="13" s="1"/>
  <c r="AN5" i="13" a="1"/>
  <c r="AN5" i="13" s="1"/>
  <c r="AO5" i="13" a="1"/>
  <c r="AO5" i="13" s="1"/>
  <c r="AP5" i="13" a="1"/>
  <c r="AP5" i="13" s="1"/>
  <c r="AQ5" i="13" a="1"/>
  <c r="AQ5" i="13" s="1"/>
  <c r="AV5" i="13"/>
  <c r="AW5" i="13" s="1"/>
  <c r="BB5" i="13"/>
  <c r="BC5" i="13" s="1"/>
  <c r="BE5" i="13"/>
  <c r="AE6" i="13" a="1"/>
  <c r="AE6" i="13" s="1"/>
  <c r="AF6" i="13" a="1"/>
  <c r="AF6" i="13" s="1"/>
  <c r="AG6" i="13" a="1"/>
  <c r="AG6" i="13" s="1"/>
  <c r="AH6" i="13" a="1"/>
  <c r="AH6" i="13" s="1"/>
  <c r="AI6" i="13" a="1"/>
  <c r="AI6" i="13" s="1"/>
  <c r="AJ6" i="13" a="1"/>
  <c r="AJ6" i="13" s="1"/>
  <c r="AK6" i="13" a="1"/>
  <c r="AK6" i="13" s="1"/>
  <c r="AL6" i="13" a="1"/>
  <c r="AL6" i="13" s="1"/>
  <c r="AM6" i="13" a="1"/>
  <c r="AM6" i="13" s="1"/>
  <c r="AN6" i="13" a="1"/>
  <c r="AN6" i="13" s="1"/>
  <c r="AO6" i="13" a="1"/>
  <c r="AO6" i="13" s="1"/>
  <c r="AP6" i="13" a="1"/>
  <c r="AP6" i="13" s="1"/>
  <c r="AQ6" i="13" a="1"/>
  <c r="AQ6" i="13" s="1"/>
  <c r="AV6" i="13"/>
  <c r="AW6" i="13" s="1"/>
  <c r="BB6" i="13"/>
  <c r="BC6" i="13" s="1"/>
  <c r="BD6" i="13"/>
  <c r="BE6" i="13" s="1"/>
  <c r="BI6" i="13"/>
  <c r="AE7" i="13" a="1"/>
  <c r="AE7" i="13" s="1"/>
  <c r="AF7" i="13" a="1"/>
  <c r="AF7" i="13" s="1"/>
  <c r="AG7" i="13" a="1"/>
  <c r="AG7" i="13" s="1"/>
  <c r="AH7" i="13" a="1"/>
  <c r="AH7" i="13" s="1"/>
  <c r="AI7" i="13" a="1"/>
  <c r="AI7" i="13" s="1"/>
  <c r="AJ7" i="13" a="1"/>
  <c r="AJ7" i="13" s="1"/>
  <c r="AK7" i="13" a="1"/>
  <c r="AK7" i="13" s="1"/>
  <c r="AL7" i="13" a="1"/>
  <c r="AL7" i="13" s="1"/>
  <c r="AM7" i="13" a="1"/>
  <c r="AM7" i="13" s="1"/>
  <c r="AN7" i="13" a="1"/>
  <c r="AN7" i="13" s="1"/>
  <c r="AO7" i="13" a="1"/>
  <c r="AO7" i="13" s="1"/>
  <c r="AP7" i="13" a="1"/>
  <c r="AP7" i="13" s="1"/>
  <c r="AQ7" i="13" a="1"/>
  <c r="AQ7" i="13" s="1"/>
  <c r="AV7" i="13"/>
  <c r="AW7" i="13" s="1"/>
  <c r="BB7" i="13"/>
  <c r="BC7" i="13" s="1"/>
  <c r="BE7" i="13"/>
  <c r="BI7" i="13"/>
  <c r="AE8" i="13" a="1"/>
  <c r="AE8" i="13" s="1"/>
  <c r="AF8" i="13" a="1"/>
  <c r="AF8" i="13" s="1"/>
  <c r="AG8" i="13" a="1"/>
  <c r="AG8" i="13" s="1"/>
  <c r="AH8" i="13" a="1"/>
  <c r="AH8" i="13" s="1"/>
  <c r="AI8" i="13" a="1"/>
  <c r="AI8" i="13" s="1"/>
  <c r="AJ8" i="13" a="1"/>
  <c r="AJ8" i="13" s="1"/>
  <c r="AK8" i="13" a="1"/>
  <c r="AK8" i="13" s="1"/>
  <c r="AL8" i="13" a="1"/>
  <c r="AL8" i="13" s="1"/>
  <c r="AM8" i="13" a="1"/>
  <c r="AM8" i="13" s="1"/>
  <c r="AN8" i="13" a="1"/>
  <c r="AN8" i="13" s="1"/>
  <c r="AO8" i="13" a="1"/>
  <c r="AO8" i="13" s="1"/>
  <c r="AP8" i="13" a="1"/>
  <c r="AP8" i="13" s="1"/>
  <c r="AQ8" i="13" a="1"/>
  <c r="AQ8" i="13" s="1"/>
  <c r="AV8" i="13"/>
  <c r="AW8" i="13" s="1"/>
  <c r="BB8" i="13"/>
  <c r="BC8" i="13" s="1"/>
  <c r="BD8" i="13"/>
  <c r="BE8" i="13" s="1"/>
  <c r="BI8" i="13"/>
  <c r="AE9" i="13" a="1"/>
  <c r="AE9" i="13" s="1"/>
  <c r="AF9" i="13" a="1"/>
  <c r="AF9" i="13" s="1"/>
  <c r="AG9" i="13" a="1"/>
  <c r="AG9" i="13" s="1"/>
  <c r="AH9" i="13" a="1"/>
  <c r="AH9" i="13" s="1"/>
  <c r="AI9" i="13" a="1"/>
  <c r="AI9" i="13" s="1"/>
  <c r="AJ9" i="13" a="1"/>
  <c r="AJ9" i="13" s="1"/>
  <c r="AK9" i="13" a="1"/>
  <c r="AK9" i="13" s="1"/>
  <c r="AL9" i="13" a="1"/>
  <c r="AL9" i="13" s="1"/>
  <c r="AM9" i="13" a="1"/>
  <c r="AM9" i="13" s="1"/>
  <c r="AN9" i="13" a="1"/>
  <c r="AN9" i="13" s="1"/>
  <c r="AO9" i="13" a="1"/>
  <c r="AO9" i="13" s="1"/>
  <c r="AP9" i="13" a="1"/>
  <c r="AP9" i="13" s="1"/>
  <c r="AQ9" i="13" a="1"/>
  <c r="AQ9" i="13" s="1"/>
  <c r="AV9" i="13"/>
  <c r="AW9" i="13" s="1"/>
  <c r="BB9" i="13"/>
  <c r="BC9" i="13" s="1"/>
  <c r="BD9" i="13"/>
  <c r="BE9" i="13" s="1"/>
  <c r="BI9" i="13"/>
  <c r="AE10" i="13" a="1"/>
  <c r="AE10" i="13" s="1"/>
  <c r="AF10" i="13" a="1"/>
  <c r="AF10" i="13" s="1"/>
  <c r="AG10" i="13" a="1"/>
  <c r="AG10" i="13" s="1"/>
  <c r="AH10" i="13" a="1"/>
  <c r="AH10" i="13" s="1"/>
  <c r="AI10" i="13" a="1"/>
  <c r="AI10" i="13" s="1"/>
  <c r="AJ10" i="13" a="1"/>
  <c r="AJ10" i="13" s="1"/>
  <c r="AK10" i="13" a="1"/>
  <c r="AK10" i="13" s="1"/>
  <c r="AL10" i="13" a="1"/>
  <c r="AL10" i="13" s="1"/>
  <c r="AM10" i="13" a="1"/>
  <c r="AM10" i="13" s="1"/>
  <c r="AN10" i="13" a="1"/>
  <c r="AN10" i="13" s="1"/>
  <c r="AO10" i="13" a="1"/>
  <c r="AO10" i="13" s="1"/>
  <c r="AP10" i="13" a="1"/>
  <c r="AP10" i="13" s="1"/>
  <c r="AQ10" i="13" a="1"/>
  <c r="AQ10" i="13" s="1"/>
  <c r="AV10" i="13"/>
  <c r="AW10" i="13" s="1"/>
  <c r="BB10" i="13"/>
  <c r="BC10" i="13" s="1"/>
  <c r="BD10" i="13"/>
  <c r="BE10" i="13" s="1"/>
  <c r="BI10" i="13"/>
  <c r="AE11" i="13" a="1"/>
  <c r="AE11" i="13" s="1"/>
  <c r="AF11" i="13" a="1"/>
  <c r="AF11" i="13" s="1"/>
  <c r="AG11" i="13" a="1"/>
  <c r="AG11" i="13" s="1"/>
  <c r="AH11" i="13" a="1"/>
  <c r="AH11" i="13" s="1"/>
  <c r="AI11" i="13" a="1"/>
  <c r="AI11" i="13" s="1"/>
  <c r="AJ11" i="13" a="1"/>
  <c r="AJ11" i="13" s="1"/>
  <c r="AK11" i="13" a="1"/>
  <c r="AK11" i="13" s="1"/>
  <c r="AL11" i="13" a="1"/>
  <c r="AL11" i="13" s="1"/>
  <c r="AM11" i="13" a="1"/>
  <c r="AM11" i="13" s="1"/>
  <c r="AN11" i="13" a="1"/>
  <c r="AN11" i="13" s="1"/>
  <c r="AO11" i="13" a="1"/>
  <c r="AO11" i="13" s="1"/>
  <c r="AP11" i="13" a="1"/>
  <c r="AP11" i="13" s="1"/>
  <c r="AQ11" i="13" a="1"/>
  <c r="AQ11" i="13" s="1"/>
  <c r="AV11" i="13"/>
  <c r="AW11" i="13" s="1"/>
  <c r="BA11" i="13"/>
  <c r="BB11" i="13" s="1"/>
  <c r="BC11" i="13" s="1"/>
  <c r="BD11" i="13"/>
  <c r="BE11" i="13" s="1"/>
  <c r="BI11" i="13"/>
  <c r="AE12" i="13" a="1"/>
  <c r="AE12" i="13" s="1"/>
  <c r="AF12" i="13" a="1"/>
  <c r="AF12" i="13" s="1"/>
  <c r="AG12" i="13" a="1"/>
  <c r="AG12" i="13" s="1"/>
  <c r="AH12" i="13" a="1"/>
  <c r="AH12" i="13" s="1"/>
  <c r="AI12" i="13" a="1"/>
  <c r="AI12" i="13" s="1"/>
  <c r="AJ12" i="13" a="1"/>
  <c r="AJ12" i="13" s="1"/>
  <c r="AK12" i="13" a="1"/>
  <c r="AK12" i="13" s="1"/>
  <c r="AL12" i="13" a="1"/>
  <c r="AL12" i="13" s="1"/>
  <c r="AM12" i="13" a="1"/>
  <c r="AM12" i="13" s="1"/>
  <c r="AN12" i="13" a="1"/>
  <c r="AN12" i="13" s="1"/>
  <c r="AO12" i="13" a="1"/>
  <c r="AO12" i="13" s="1"/>
  <c r="AP12" i="13" a="1"/>
  <c r="AP12" i="13" s="1"/>
  <c r="AQ12" i="13" a="1"/>
  <c r="AQ12" i="13" s="1"/>
  <c r="AV12" i="13"/>
  <c r="AW12" i="13" s="1"/>
  <c r="BB12" i="13"/>
  <c r="BC12" i="13" s="1"/>
  <c r="BD12" i="13"/>
  <c r="BE12" i="13" s="1"/>
  <c r="BI12" i="13"/>
  <c r="AE13" i="13" a="1"/>
  <c r="AE13" i="13" s="1"/>
  <c r="AF13" i="13" a="1"/>
  <c r="AF13" i="13" s="1"/>
  <c r="AG13" i="13" a="1"/>
  <c r="AG13" i="13" s="1"/>
  <c r="AH13" i="13" a="1"/>
  <c r="AH13" i="13" s="1"/>
  <c r="AI13" i="13" a="1"/>
  <c r="AI13" i="13" s="1"/>
  <c r="AJ13" i="13" a="1"/>
  <c r="AJ13" i="13" s="1"/>
  <c r="AK13" i="13" a="1"/>
  <c r="AK13" i="13" s="1"/>
  <c r="AL13" i="13" a="1"/>
  <c r="AL13" i="13" s="1"/>
  <c r="AM13" i="13" a="1"/>
  <c r="AM13" i="13" s="1"/>
  <c r="AN13" i="13" a="1"/>
  <c r="AN13" i="13" s="1"/>
  <c r="AO13" i="13" a="1"/>
  <c r="AO13" i="13" s="1"/>
  <c r="AP13" i="13" a="1"/>
  <c r="AP13" i="13" s="1"/>
  <c r="AQ13" i="13" a="1"/>
  <c r="AQ13" i="13" s="1"/>
  <c r="AV13" i="13"/>
  <c r="AW13" i="13" s="1"/>
  <c r="BB13" i="13"/>
  <c r="BC13" i="13" s="1"/>
  <c r="BD13" i="13"/>
  <c r="BE13" i="13" s="1"/>
  <c r="BI13" i="13"/>
  <c r="AE14" i="13" a="1"/>
  <c r="AE14" i="13" s="1"/>
  <c r="AF14" i="13" a="1"/>
  <c r="AF14" i="13" s="1"/>
  <c r="AG14" i="13" a="1"/>
  <c r="AG14" i="13" s="1"/>
  <c r="AH14" i="13" a="1"/>
  <c r="AH14" i="13" s="1"/>
  <c r="AI14" i="13" a="1"/>
  <c r="AI14" i="13" s="1"/>
  <c r="AJ14" i="13" a="1"/>
  <c r="AJ14" i="13" s="1"/>
  <c r="AK14" i="13" a="1"/>
  <c r="AK14" i="13" s="1"/>
  <c r="AL14" i="13" a="1"/>
  <c r="AL14" i="13" s="1"/>
  <c r="AM14" i="13" a="1"/>
  <c r="AM14" i="13" s="1"/>
  <c r="AN14" i="13" a="1"/>
  <c r="AN14" i="13" s="1"/>
  <c r="AO14" i="13" a="1"/>
  <c r="AO14" i="13" s="1"/>
  <c r="AP14" i="13" a="1"/>
  <c r="AP14" i="13" s="1"/>
  <c r="AQ14" i="13" a="1"/>
  <c r="AQ14" i="13" s="1"/>
  <c r="AV14" i="13"/>
  <c r="AW14" i="13" s="1"/>
  <c r="BB14" i="13"/>
  <c r="BC14" i="13" s="1"/>
  <c r="BD14" i="13"/>
  <c r="BE14" i="13" s="1"/>
  <c r="BI14" i="13"/>
  <c r="AE15" i="13" a="1"/>
  <c r="AE15" i="13" s="1"/>
  <c r="AF15" i="13" a="1"/>
  <c r="AF15" i="13" s="1"/>
  <c r="AG15" i="13" a="1"/>
  <c r="AG15" i="13" s="1"/>
  <c r="AH15" i="13" a="1"/>
  <c r="AH15" i="13" s="1"/>
  <c r="AI15" i="13" a="1"/>
  <c r="AI15" i="13" s="1"/>
  <c r="AJ15" i="13" a="1"/>
  <c r="AJ15" i="13" s="1"/>
  <c r="AK15" i="13" a="1"/>
  <c r="AK15" i="13" s="1"/>
  <c r="AL15" i="13" a="1"/>
  <c r="AL15" i="13" s="1"/>
  <c r="AM15" i="13" a="1"/>
  <c r="AM15" i="13" s="1"/>
  <c r="AN15" i="13" a="1"/>
  <c r="AN15" i="13" s="1"/>
  <c r="AO15" i="13" a="1"/>
  <c r="AO15" i="13" s="1"/>
  <c r="AP15" i="13" a="1"/>
  <c r="AP15" i="13" s="1"/>
  <c r="AQ15" i="13" a="1"/>
  <c r="AQ15" i="13" s="1"/>
  <c r="AV15" i="13"/>
  <c r="AW15" i="13" s="1"/>
  <c r="BB15" i="13"/>
  <c r="BC15" i="13" s="1"/>
  <c r="BD15" i="13"/>
  <c r="BE15" i="13" s="1"/>
  <c r="BI15" i="13"/>
  <c r="AE16" i="13" a="1"/>
  <c r="AE16" i="13" s="1"/>
  <c r="AF16" i="13" a="1"/>
  <c r="AF16" i="13" s="1"/>
  <c r="AG16" i="13" a="1"/>
  <c r="AG16" i="13" s="1"/>
  <c r="AH16" i="13" a="1"/>
  <c r="AH16" i="13" s="1"/>
  <c r="AI16" i="13" a="1"/>
  <c r="AI16" i="13" s="1"/>
  <c r="AJ16" i="13" a="1"/>
  <c r="AJ16" i="13" s="1"/>
  <c r="AK16" i="13" a="1"/>
  <c r="AK16" i="13" s="1"/>
  <c r="AL16" i="13" a="1"/>
  <c r="AL16" i="13" s="1"/>
  <c r="AM16" i="13" a="1"/>
  <c r="AM16" i="13" s="1"/>
  <c r="AN16" i="13" a="1"/>
  <c r="AN16" i="13" s="1"/>
  <c r="AO16" i="13" a="1"/>
  <c r="AO16" i="13" s="1"/>
  <c r="AP16" i="13" a="1"/>
  <c r="AP16" i="13" s="1"/>
  <c r="AQ16" i="13" a="1"/>
  <c r="AQ16" i="13" s="1"/>
  <c r="AV16" i="13"/>
  <c r="AW16" i="13" s="1"/>
  <c r="BB16" i="13"/>
  <c r="BC16" i="13" s="1"/>
  <c r="BE16" i="13"/>
  <c r="BI16" i="13"/>
  <c r="AE17" i="13" a="1"/>
  <c r="AE17" i="13" s="1"/>
  <c r="AF17" i="13" a="1"/>
  <c r="AF17" i="13" s="1"/>
  <c r="AG17" i="13" a="1"/>
  <c r="AG17" i="13" s="1"/>
  <c r="AH17" i="13" a="1"/>
  <c r="AH17" i="13" s="1"/>
  <c r="AI17" i="13" a="1"/>
  <c r="AI17" i="13" s="1"/>
  <c r="AJ17" i="13" a="1"/>
  <c r="AJ17" i="13" s="1"/>
  <c r="AK17" i="13" a="1"/>
  <c r="AK17" i="13" s="1"/>
  <c r="AL17" i="13" a="1"/>
  <c r="AL17" i="13" s="1"/>
  <c r="AM17" i="13" a="1"/>
  <c r="AM17" i="13" s="1"/>
  <c r="AN17" i="13" a="1"/>
  <c r="AN17" i="13" s="1"/>
  <c r="AO17" i="13" a="1"/>
  <c r="AO17" i="13" s="1"/>
  <c r="AP17" i="13" a="1"/>
  <c r="AP17" i="13" s="1"/>
  <c r="AQ17" i="13" a="1"/>
  <c r="AQ17" i="13" s="1"/>
  <c r="AV17" i="13"/>
  <c r="AW17" i="13" s="1"/>
  <c r="BB17" i="13"/>
  <c r="BC17" i="13" s="1"/>
  <c r="BE17" i="13"/>
  <c r="BI17" i="13"/>
  <c r="AE18" i="13" a="1"/>
  <c r="AE18" i="13" s="1"/>
  <c r="AF18" i="13" a="1"/>
  <c r="AF18" i="13" s="1"/>
  <c r="AG18" i="13" a="1"/>
  <c r="AG18" i="13" s="1"/>
  <c r="AH18" i="13" a="1"/>
  <c r="AH18" i="13" s="1"/>
  <c r="AI18" i="13" a="1"/>
  <c r="AI18" i="13" s="1"/>
  <c r="AJ18" i="13" a="1"/>
  <c r="AJ18" i="13" s="1"/>
  <c r="AK18" i="13" a="1"/>
  <c r="AK18" i="13" s="1"/>
  <c r="AL18" i="13" a="1"/>
  <c r="AL18" i="13" s="1"/>
  <c r="AM18" i="13" a="1"/>
  <c r="AM18" i="13" s="1"/>
  <c r="AN18" i="13" a="1"/>
  <c r="AN18" i="13" s="1"/>
  <c r="AO18" i="13" a="1"/>
  <c r="AO18" i="13" s="1"/>
  <c r="AP18" i="13" a="1"/>
  <c r="AP18" i="13" s="1"/>
  <c r="AQ18" i="13" a="1"/>
  <c r="AQ18" i="13" s="1"/>
  <c r="AV18" i="13"/>
  <c r="AW18" i="13" s="1"/>
  <c r="BB18" i="13"/>
  <c r="BC18" i="13" s="1"/>
  <c r="BE18" i="13"/>
  <c r="BI18" i="13"/>
  <c r="AE19" i="13" a="1"/>
  <c r="AE19" i="13" s="1"/>
  <c r="AF19" i="13" a="1"/>
  <c r="AF19" i="13" s="1"/>
  <c r="AG19" i="13" a="1"/>
  <c r="AG19" i="13" s="1"/>
  <c r="AH19" i="13" a="1"/>
  <c r="AH19" i="13" s="1"/>
  <c r="AI19" i="13" a="1"/>
  <c r="AI19" i="13" s="1"/>
  <c r="AJ19" i="13" a="1"/>
  <c r="AJ19" i="13" s="1"/>
  <c r="AK19" i="13" a="1"/>
  <c r="AK19" i="13" s="1"/>
  <c r="AL19" i="13" a="1"/>
  <c r="AL19" i="13" s="1"/>
  <c r="AM19" i="13" a="1"/>
  <c r="AM19" i="13" s="1"/>
  <c r="AN19" i="13" a="1"/>
  <c r="AN19" i="13" s="1"/>
  <c r="AO19" i="13" a="1"/>
  <c r="AO19" i="13" s="1"/>
  <c r="AP19" i="13" a="1"/>
  <c r="AP19" i="13" s="1"/>
  <c r="AQ19" i="13" a="1"/>
  <c r="AQ19" i="13" s="1"/>
  <c r="AV19" i="13"/>
  <c r="AW19" i="13" s="1"/>
  <c r="BB19" i="13"/>
  <c r="BC19" i="13" s="1"/>
  <c r="BD19" i="13"/>
  <c r="BE19" i="13" s="1"/>
  <c r="BI19" i="13"/>
  <c r="AE20" i="13" a="1"/>
  <c r="AE20" i="13" s="1"/>
  <c r="AF20" i="13" a="1"/>
  <c r="AF20" i="13" s="1"/>
  <c r="AG20" i="13" a="1"/>
  <c r="AG20" i="13" s="1"/>
  <c r="AH20" i="13" a="1"/>
  <c r="AH20" i="13" s="1"/>
  <c r="AI20" i="13" a="1"/>
  <c r="AI20" i="13" s="1"/>
  <c r="AJ20" i="13" a="1"/>
  <c r="AJ20" i="13" s="1"/>
  <c r="AK20" i="13" a="1"/>
  <c r="AK20" i="13" s="1"/>
  <c r="AL20" i="13" a="1"/>
  <c r="AL20" i="13" s="1"/>
  <c r="AM20" i="13" a="1"/>
  <c r="AM20" i="13" s="1"/>
  <c r="AN20" i="13" a="1"/>
  <c r="AN20" i="13" s="1"/>
  <c r="AO20" i="13" a="1"/>
  <c r="AO20" i="13" s="1"/>
  <c r="AP20" i="13" a="1"/>
  <c r="AP20" i="13" s="1"/>
  <c r="AQ20" i="13" a="1"/>
  <c r="AQ20" i="13" s="1"/>
  <c r="AV20" i="13"/>
  <c r="AW20" i="13" s="1"/>
  <c r="BB20" i="13"/>
  <c r="BC20" i="13" s="1"/>
  <c r="BE20" i="13"/>
  <c r="BI20" i="13"/>
  <c r="AE21" i="13" a="1"/>
  <c r="AE21" i="13" s="1"/>
  <c r="AF21" i="13" a="1"/>
  <c r="AF21" i="13" s="1"/>
  <c r="AG21" i="13" a="1"/>
  <c r="AG21" i="13" s="1"/>
  <c r="AH21" i="13" a="1"/>
  <c r="AH21" i="13" s="1"/>
  <c r="AI21" i="13" a="1"/>
  <c r="AI21" i="13" s="1"/>
  <c r="AJ21" i="13" a="1"/>
  <c r="AJ21" i="13" s="1"/>
  <c r="AK21" i="13" a="1"/>
  <c r="AK21" i="13" s="1"/>
  <c r="AL21" i="13" a="1"/>
  <c r="AL21" i="13" s="1"/>
  <c r="AM21" i="13" a="1"/>
  <c r="AM21" i="13" s="1"/>
  <c r="AN21" i="13" a="1"/>
  <c r="AN21" i="13" s="1"/>
  <c r="AO21" i="13" a="1"/>
  <c r="AO21" i="13" s="1"/>
  <c r="AP21" i="13" a="1"/>
  <c r="AP21" i="13" s="1"/>
  <c r="AQ21" i="13" a="1"/>
  <c r="AQ21" i="13" s="1"/>
  <c r="AV21" i="13"/>
  <c r="AW21" i="13" s="1"/>
  <c r="BB21" i="13"/>
  <c r="BC21" i="13" s="1"/>
  <c r="BD21" i="13"/>
  <c r="BE21" i="13" s="1"/>
  <c r="BI21" i="13"/>
  <c r="AE22" i="13" a="1"/>
  <c r="AE22" i="13" s="1"/>
  <c r="AF22" i="13" a="1"/>
  <c r="AF22" i="13" s="1"/>
  <c r="AG22" i="13" a="1"/>
  <c r="AG22" i="13" s="1"/>
  <c r="AH22" i="13" a="1"/>
  <c r="AH22" i="13" s="1"/>
  <c r="AI22" i="13" a="1"/>
  <c r="AI22" i="13" s="1"/>
  <c r="AJ22" i="13" a="1"/>
  <c r="AJ22" i="13" s="1"/>
  <c r="AK22" i="13" a="1"/>
  <c r="AK22" i="13" s="1"/>
  <c r="AL22" i="13" a="1"/>
  <c r="AL22" i="13" s="1"/>
  <c r="AM22" i="13" a="1"/>
  <c r="AM22" i="13" s="1"/>
  <c r="AN22" i="13" a="1"/>
  <c r="AN22" i="13" s="1"/>
  <c r="AO22" i="13" a="1"/>
  <c r="AO22" i="13" s="1"/>
  <c r="AP22" i="13" a="1"/>
  <c r="AP22" i="13" s="1"/>
  <c r="AQ22" i="13" a="1"/>
  <c r="AQ22" i="13" s="1"/>
  <c r="AV22" i="13"/>
  <c r="AW22" i="13" s="1"/>
  <c r="BB22" i="13"/>
  <c r="BC22" i="13" s="1"/>
  <c r="BE22" i="13"/>
  <c r="BI22" i="13"/>
  <c r="AE23" i="13" a="1"/>
  <c r="AE23" i="13" s="1"/>
  <c r="AF23" i="13" a="1"/>
  <c r="AF23" i="13" s="1"/>
  <c r="AG23" i="13" a="1"/>
  <c r="AG23" i="13" s="1"/>
  <c r="AH23" i="13" a="1"/>
  <c r="AH23" i="13" s="1"/>
  <c r="AI23" i="13" a="1"/>
  <c r="AI23" i="13" s="1"/>
  <c r="AJ23" i="13" a="1"/>
  <c r="AJ23" i="13" s="1"/>
  <c r="AK23" i="13" a="1"/>
  <c r="AK23" i="13" s="1"/>
  <c r="AL23" i="13" a="1"/>
  <c r="AL23" i="13" s="1"/>
  <c r="AM23" i="13" a="1"/>
  <c r="AM23" i="13" s="1"/>
  <c r="AN23" i="13" a="1"/>
  <c r="AN23" i="13" s="1"/>
  <c r="AO23" i="13" a="1"/>
  <c r="AO23" i="13" s="1"/>
  <c r="AP23" i="13" a="1"/>
  <c r="AP23" i="13" s="1"/>
  <c r="AQ23" i="13" a="1"/>
  <c r="AQ23" i="13" s="1"/>
  <c r="AV23" i="13"/>
  <c r="AW23" i="13" s="1"/>
  <c r="BB23" i="13"/>
  <c r="BC23" i="13" s="1"/>
  <c r="BD23" i="13"/>
  <c r="BE23" i="13" s="1"/>
  <c r="BI23" i="13"/>
  <c r="AE24" i="13" a="1"/>
  <c r="AE24" i="13" s="1"/>
  <c r="AF24" i="13" a="1"/>
  <c r="AF24" i="13" s="1"/>
  <c r="AG24" i="13" a="1"/>
  <c r="AG24" i="13" s="1"/>
  <c r="AH24" i="13" a="1"/>
  <c r="AH24" i="13" s="1"/>
  <c r="AI24" i="13" a="1"/>
  <c r="AI24" i="13" s="1"/>
  <c r="AJ24" i="13" a="1"/>
  <c r="AJ24" i="13" s="1"/>
  <c r="AK24" i="13" a="1"/>
  <c r="AK24" i="13" s="1"/>
  <c r="AL24" i="13" a="1"/>
  <c r="AL24" i="13" s="1"/>
  <c r="AM24" i="13" a="1"/>
  <c r="AM24" i="13" s="1"/>
  <c r="AN24" i="13" a="1"/>
  <c r="AN24" i="13" s="1"/>
  <c r="AO24" i="13" a="1"/>
  <c r="AO24" i="13" s="1"/>
  <c r="AP24" i="13" a="1"/>
  <c r="AP24" i="13" s="1"/>
  <c r="AQ24" i="13" a="1"/>
  <c r="AQ24" i="13" s="1"/>
  <c r="AV24" i="13"/>
  <c r="AW24" i="13" s="1"/>
  <c r="BB24" i="13"/>
  <c r="BC24" i="13" s="1"/>
  <c r="BD24" i="13"/>
  <c r="BE24" i="13" s="1"/>
  <c r="BI24" i="13"/>
  <c r="AE25" i="13" a="1"/>
  <c r="AE25" i="13" s="1"/>
  <c r="AF25" i="13" a="1"/>
  <c r="AF25" i="13" s="1"/>
  <c r="AG25" i="13" a="1"/>
  <c r="AG25" i="13" s="1"/>
  <c r="AH25" i="13" a="1"/>
  <c r="AH25" i="13" s="1"/>
  <c r="AI25" i="13" a="1"/>
  <c r="AI25" i="13" s="1"/>
  <c r="AJ25" i="13" a="1"/>
  <c r="AJ25" i="13" s="1"/>
  <c r="AK25" i="13" a="1"/>
  <c r="AK25" i="13" s="1"/>
  <c r="AL25" i="13" a="1"/>
  <c r="AL25" i="13" s="1"/>
  <c r="AM25" i="13" a="1"/>
  <c r="AM25" i="13" s="1"/>
  <c r="AN25" i="13" a="1"/>
  <c r="AN25" i="13" s="1"/>
  <c r="AO25" i="13" a="1"/>
  <c r="AO25" i="13" s="1"/>
  <c r="AP25" i="13" a="1"/>
  <c r="AP25" i="13" s="1"/>
  <c r="AQ25" i="13" a="1"/>
  <c r="AQ25" i="13" s="1"/>
  <c r="AV25" i="13"/>
  <c r="AW25" i="13" s="1"/>
  <c r="BB25" i="13"/>
  <c r="BC25" i="13" s="1"/>
  <c r="BD25" i="13"/>
  <c r="BE25" i="13" s="1"/>
  <c r="BI25" i="13"/>
  <c r="AE26" i="13" a="1"/>
  <c r="AE26" i="13" s="1"/>
  <c r="AF26" i="13" a="1"/>
  <c r="AF26" i="13" s="1"/>
  <c r="AG26" i="13" a="1"/>
  <c r="AG26" i="13" s="1"/>
  <c r="AH26" i="13" a="1"/>
  <c r="AH26" i="13" s="1"/>
  <c r="AI26" i="13" a="1"/>
  <c r="AI26" i="13" s="1"/>
  <c r="AJ26" i="13" a="1"/>
  <c r="AJ26" i="13" s="1"/>
  <c r="AK26" i="13" a="1"/>
  <c r="AK26" i="13" s="1"/>
  <c r="AL26" i="13" a="1"/>
  <c r="AL26" i="13" s="1"/>
  <c r="AM26" i="13" a="1"/>
  <c r="AM26" i="13" s="1"/>
  <c r="AN26" i="13" a="1"/>
  <c r="AN26" i="13" s="1"/>
  <c r="AO26" i="13" a="1"/>
  <c r="AO26" i="13" s="1"/>
  <c r="AP26" i="13" a="1"/>
  <c r="AP26" i="13" s="1"/>
  <c r="AQ26" i="13" a="1"/>
  <c r="AQ26" i="13" s="1"/>
  <c r="AV26" i="13"/>
  <c r="AW26" i="13" s="1"/>
  <c r="BB26" i="13"/>
  <c r="BC26" i="13" s="1"/>
  <c r="BE26" i="13"/>
  <c r="BI26" i="13"/>
  <c r="AE27" i="13" a="1"/>
  <c r="AE27" i="13" s="1"/>
  <c r="AF27" i="13" a="1"/>
  <c r="AF27" i="13" s="1"/>
  <c r="AG27" i="13" a="1"/>
  <c r="AG27" i="13" s="1"/>
  <c r="AH27" i="13" a="1"/>
  <c r="AH27" i="13" s="1"/>
  <c r="AI27" i="13" a="1"/>
  <c r="AI27" i="13" s="1"/>
  <c r="AJ27" i="13" a="1"/>
  <c r="AJ27" i="13" s="1"/>
  <c r="AK27" i="13" a="1"/>
  <c r="AK27" i="13" s="1"/>
  <c r="AL27" i="13" a="1"/>
  <c r="AL27" i="13" s="1"/>
  <c r="AM27" i="13" a="1"/>
  <c r="AM27" i="13" s="1"/>
  <c r="AN27" i="13" a="1"/>
  <c r="AN27" i="13" s="1"/>
  <c r="AO27" i="13" a="1"/>
  <c r="AO27" i="13" s="1"/>
  <c r="AP27" i="13" a="1"/>
  <c r="AP27" i="13" s="1"/>
  <c r="AQ27" i="13" a="1"/>
  <c r="AQ27" i="13" s="1"/>
  <c r="AV27" i="13"/>
  <c r="AW27" i="13" s="1"/>
  <c r="BB27" i="13"/>
  <c r="BC27" i="13" s="1"/>
  <c r="BD27" i="13"/>
  <c r="BE27" i="13" s="1"/>
  <c r="BI27" i="13"/>
  <c r="AE28" i="13" a="1"/>
  <c r="AE28" i="13" s="1"/>
  <c r="AF28" i="13" a="1"/>
  <c r="AF28" i="13" s="1"/>
  <c r="AG28" i="13" a="1"/>
  <c r="AG28" i="13" s="1"/>
  <c r="AH28" i="13" a="1"/>
  <c r="AH28" i="13" s="1"/>
  <c r="AI28" i="13" a="1"/>
  <c r="AI28" i="13" s="1"/>
  <c r="AJ28" i="13" a="1"/>
  <c r="AJ28" i="13" s="1"/>
  <c r="AK28" i="13" a="1"/>
  <c r="AK28" i="13" s="1"/>
  <c r="AL28" i="13" a="1"/>
  <c r="AL28" i="13" s="1"/>
  <c r="AM28" i="13" a="1"/>
  <c r="AM28" i="13" s="1"/>
  <c r="AN28" i="13" a="1"/>
  <c r="AN28" i="13" s="1"/>
  <c r="AO28" i="13" a="1"/>
  <c r="AO28" i="13" s="1"/>
  <c r="AP28" i="13" a="1"/>
  <c r="AP28" i="13" s="1"/>
  <c r="AQ28" i="13" a="1"/>
  <c r="AQ28" i="13" s="1"/>
  <c r="AV28" i="13"/>
  <c r="AW28" i="13" s="1"/>
  <c r="BB28" i="13"/>
  <c r="BC28" i="13" s="1"/>
  <c r="BE28" i="13"/>
  <c r="BI28" i="13"/>
  <c r="AE29" i="13" a="1"/>
  <c r="AE29" i="13" s="1"/>
  <c r="AF29" i="13" a="1"/>
  <c r="AF29" i="13" s="1"/>
  <c r="AG29" i="13" a="1"/>
  <c r="AG29" i="13" s="1"/>
  <c r="AH29" i="13" a="1"/>
  <c r="AH29" i="13" s="1"/>
  <c r="AI29" i="13" a="1"/>
  <c r="AI29" i="13" s="1"/>
  <c r="AJ29" i="13" a="1"/>
  <c r="AJ29" i="13" s="1"/>
  <c r="AK29" i="13" a="1"/>
  <c r="AK29" i="13" s="1"/>
  <c r="AL29" i="13" a="1"/>
  <c r="AL29" i="13" s="1"/>
  <c r="AM29" i="13" a="1"/>
  <c r="AM29" i="13" s="1"/>
  <c r="AN29" i="13" a="1"/>
  <c r="AN29" i="13" s="1"/>
  <c r="AO29" i="13" a="1"/>
  <c r="AO29" i="13" s="1"/>
  <c r="AP29" i="13" a="1"/>
  <c r="AP29" i="13" s="1"/>
  <c r="AQ29" i="13" a="1"/>
  <c r="AQ29" i="13" s="1"/>
  <c r="AV29" i="13"/>
  <c r="AW29" i="13" s="1"/>
  <c r="BB29" i="13"/>
  <c r="BC29" i="13" s="1"/>
  <c r="BE29" i="13"/>
  <c r="BI29" i="13"/>
  <c r="AE30" i="13" a="1"/>
  <c r="AE30" i="13" s="1"/>
  <c r="AF30" i="13" a="1"/>
  <c r="AF30" i="13" s="1"/>
  <c r="AG30" i="13" a="1"/>
  <c r="AG30" i="13" s="1"/>
  <c r="AH30" i="13" a="1"/>
  <c r="AH30" i="13" s="1"/>
  <c r="AI30" i="13" a="1"/>
  <c r="AI30" i="13" s="1"/>
  <c r="AJ30" i="13" a="1"/>
  <c r="AJ30" i="13" s="1"/>
  <c r="AK30" i="13" a="1"/>
  <c r="AK30" i="13" s="1"/>
  <c r="AL30" i="13" a="1"/>
  <c r="AL30" i="13" s="1"/>
  <c r="AM30" i="13" a="1"/>
  <c r="AM30" i="13" s="1"/>
  <c r="AN30" i="13" a="1"/>
  <c r="AN30" i="13" s="1"/>
  <c r="AO30" i="13" a="1"/>
  <c r="AO30" i="13" s="1"/>
  <c r="AP30" i="13" a="1"/>
  <c r="AP30" i="13" s="1"/>
  <c r="AQ30" i="13" a="1"/>
  <c r="AQ30" i="13" s="1"/>
  <c r="AV30" i="13"/>
  <c r="AW30" i="13" s="1"/>
  <c r="BB30" i="13"/>
  <c r="BC30" i="13" s="1"/>
  <c r="BE30" i="13"/>
  <c r="BI30" i="13"/>
  <c r="AE31" i="13" a="1"/>
  <c r="AE31" i="13" s="1"/>
  <c r="AF31" i="13" a="1"/>
  <c r="AF31" i="13" s="1"/>
  <c r="AG31" i="13" a="1"/>
  <c r="AG31" i="13" s="1"/>
  <c r="AH31" i="13" a="1"/>
  <c r="AH31" i="13" s="1"/>
  <c r="AI31" i="13" a="1"/>
  <c r="AI31" i="13" s="1"/>
  <c r="AJ31" i="13" a="1"/>
  <c r="AJ31" i="13" s="1"/>
  <c r="AK31" i="13" a="1"/>
  <c r="AK31" i="13" s="1"/>
  <c r="AL31" i="13" a="1"/>
  <c r="AL31" i="13" s="1"/>
  <c r="AM31" i="13" a="1"/>
  <c r="AM31" i="13" s="1"/>
  <c r="AN31" i="13" a="1"/>
  <c r="AN31" i="13" s="1"/>
  <c r="AO31" i="13" a="1"/>
  <c r="AO31" i="13" s="1"/>
  <c r="AP31" i="13" a="1"/>
  <c r="AP31" i="13" s="1"/>
  <c r="AQ31" i="13" a="1"/>
  <c r="AQ31" i="13" s="1"/>
  <c r="AV31" i="13"/>
  <c r="AW31" i="13" s="1"/>
  <c r="BB31" i="13"/>
  <c r="BC31" i="13" s="1"/>
  <c r="BE31" i="13"/>
  <c r="BI31" i="13"/>
  <c r="AE32" i="13" a="1"/>
  <c r="AE32" i="13" s="1"/>
  <c r="AF32" i="13" a="1"/>
  <c r="AF32" i="13" s="1"/>
  <c r="AG32" i="13" a="1"/>
  <c r="AG32" i="13" s="1"/>
  <c r="AH32" i="13" a="1"/>
  <c r="AH32" i="13" s="1"/>
  <c r="AI32" i="13" a="1"/>
  <c r="AI32" i="13" s="1"/>
  <c r="AJ32" i="13" a="1"/>
  <c r="AJ32" i="13" s="1"/>
  <c r="AK32" i="13" a="1"/>
  <c r="AK32" i="13" s="1"/>
  <c r="AL32" i="13" a="1"/>
  <c r="AL32" i="13" s="1"/>
  <c r="AM32" i="13" a="1"/>
  <c r="AM32" i="13" s="1"/>
  <c r="AN32" i="13" a="1"/>
  <c r="AN32" i="13" s="1"/>
  <c r="AO32" i="13" a="1"/>
  <c r="AO32" i="13" s="1"/>
  <c r="AP32" i="13" a="1"/>
  <c r="AP32" i="13" s="1"/>
  <c r="AQ32" i="13" a="1"/>
  <c r="AQ32" i="13" s="1"/>
  <c r="AV32" i="13"/>
  <c r="AW32" i="13" s="1"/>
  <c r="BB32" i="13"/>
  <c r="BC32" i="13" s="1"/>
  <c r="BE32" i="13"/>
  <c r="BI32" i="13"/>
  <c r="AE33" i="13" a="1"/>
  <c r="AE33" i="13" s="1"/>
  <c r="AF33" i="13" a="1"/>
  <c r="AF33" i="13" s="1"/>
  <c r="AG33" i="13" a="1"/>
  <c r="AG33" i="13" s="1"/>
  <c r="AH33" i="13" a="1"/>
  <c r="AH33" i="13" s="1"/>
  <c r="AI33" i="13" a="1"/>
  <c r="AI33" i="13" s="1"/>
  <c r="AJ33" i="13" a="1"/>
  <c r="AJ33" i="13" s="1"/>
  <c r="AK33" i="13" a="1"/>
  <c r="AK33" i="13" s="1"/>
  <c r="AL33" i="13" a="1"/>
  <c r="AL33" i="13" s="1"/>
  <c r="AM33" i="13" a="1"/>
  <c r="AM33" i="13" s="1"/>
  <c r="AN33" i="13" a="1"/>
  <c r="AN33" i="13" s="1"/>
  <c r="AO33" i="13" a="1"/>
  <c r="AO33" i="13" s="1"/>
  <c r="AP33" i="13" a="1"/>
  <c r="AP33" i="13" s="1"/>
  <c r="AQ33" i="13" a="1"/>
  <c r="AQ33" i="13" s="1"/>
  <c r="AV33" i="13"/>
  <c r="AW33" i="13" s="1"/>
  <c r="BB33" i="13"/>
  <c r="BC33" i="13" s="1"/>
  <c r="BE33" i="13"/>
  <c r="BI33" i="13"/>
  <c r="AE34" i="13" a="1"/>
  <c r="AE34" i="13" s="1"/>
  <c r="AF34" i="13" a="1"/>
  <c r="AF34" i="13" s="1"/>
  <c r="AG34" i="13" a="1"/>
  <c r="AG34" i="13" s="1"/>
  <c r="AH34" i="13" a="1"/>
  <c r="AH34" i="13" s="1"/>
  <c r="AI34" i="13" a="1"/>
  <c r="AI34" i="13" s="1"/>
  <c r="AJ34" i="13" a="1"/>
  <c r="AJ34" i="13" s="1"/>
  <c r="AK34" i="13" a="1"/>
  <c r="AK34" i="13" s="1"/>
  <c r="AL34" i="13" a="1"/>
  <c r="AL34" i="13" s="1"/>
  <c r="AM34" i="13" a="1"/>
  <c r="AM34" i="13" s="1"/>
  <c r="AN34" i="13" a="1"/>
  <c r="AN34" i="13" s="1"/>
  <c r="AO34" i="13" a="1"/>
  <c r="AO34" i="13" s="1"/>
  <c r="AP34" i="13" a="1"/>
  <c r="AP34" i="13" s="1"/>
  <c r="AQ34" i="13" a="1"/>
  <c r="AQ34" i="13" s="1"/>
  <c r="AV34" i="13"/>
  <c r="AW34" i="13" s="1"/>
  <c r="BB34" i="13"/>
  <c r="BC34" i="13" s="1"/>
  <c r="BE34" i="13"/>
  <c r="BI34" i="13"/>
  <c r="AE35" i="13" a="1"/>
  <c r="AE35" i="13" s="1"/>
  <c r="AF35" i="13" a="1"/>
  <c r="AF35" i="13" s="1"/>
  <c r="AG35" i="13" a="1"/>
  <c r="AG35" i="13" s="1"/>
  <c r="AH35" i="13" a="1"/>
  <c r="AH35" i="13" s="1"/>
  <c r="AI35" i="13" a="1"/>
  <c r="AI35" i="13" s="1"/>
  <c r="AJ35" i="13" a="1"/>
  <c r="AJ35" i="13" s="1"/>
  <c r="AK35" i="13" a="1"/>
  <c r="AK35" i="13" s="1"/>
  <c r="AL35" i="13" a="1"/>
  <c r="AL35" i="13" s="1"/>
  <c r="AM35" i="13" a="1"/>
  <c r="AM35" i="13" s="1"/>
  <c r="AN35" i="13" a="1"/>
  <c r="AN35" i="13" s="1"/>
  <c r="AO35" i="13" a="1"/>
  <c r="AO35" i="13" s="1"/>
  <c r="AP35" i="13" a="1"/>
  <c r="AP35" i="13" s="1"/>
  <c r="AQ35" i="13" a="1"/>
  <c r="AQ35" i="13" s="1"/>
  <c r="AV35" i="13"/>
  <c r="AW35" i="13" s="1"/>
  <c r="BB35" i="13"/>
  <c r="BC35" i="13" s="1"/>
  <c r="BE35" i="13"/>
  <c r="BI35" i="13"/>
  <c r="AE36" i="13" a="1"/>
  <c r="AE36" i="13" s="1"/>
  <c r="AF36" i="13" a="1"/>
  <c r="AF36" i="13" s="1"/>
  <c r="AG36" i="13" a="1"/>
  <c r="AG36" i="13" s="1"/>
  <c r="AH36" i="13" a="1"/>
  <c r="AH36" i="13" s="1"/>
  <c r="AI36" i="13" a="1"/>
  <c r="AI36" i="13" s="1"/>
  <c r="AJ36" i="13" a="1"/>
  <c r="AJ36" i="13" s="1"/>
  <c r="AK36" i="13" a="1"/>
  <c r="AK36" i="13" s="1"/>
  <c r="AL36" i="13" a="1"/>
  <c r="AL36" i="13" s="1"/>
  <c r="AM36" i="13" a="1"/>
  <c r="AM36" i="13" s="1"/>
  <c r="AN36" i="13" a="1"/>
  <c r="AN36" i="13" s="1"/>
  <c r="AO36" i="13" a="1"/>
  <c r="AO36" i="13" s="1"/>
  <c r="AP36" i="13" a="1"/>
  <c r="AP36" i="13" s="1"/>
  <c r="AQ36" i="13" a="1"/>
  <c r="AQ36" i="13" s="1"/>
  <c r="AV36" i="13"/>
  <c r="AW36" i="13" s="1"/>
  <c r="BB36" i="13"/>
  <c r="BC36" i="13" s="1"/>
  <c r="BE36" i="13"/>
  <c r="BI36" i="13"/>
  <c r="AE37" i="13" a="1"/>
  <c r="AE37" i="13" s="1"/>
  <c r="AF37" i="13" a="1"/>
  <c r="AF37" i="13" s="1"/>
  <c r="AG37" i="13" a="1"/>
  <c r="AG37" i="13" s="1"/>
  <c r="AH37" i="13" a="1"/>
  <c r="AH37" i="13" s="1"/>
  <c r="AI37" i="13" a="1"/>
  <c r="AI37" i="13" s="1"/>
  <c r="AJ37" i="13" a="1"/>
  <c r="AJ37" i="13" s="1"/>
  <c r="AK37" i="13" a="1"/>
  <c r="AK37" i="13" s="1"/>
  <c r="AL37" i="13" a="1"/>
  <c r="AL37" i="13" s="1"/>
  <c r="AM37" i="13" a="1"/>
  <c r="AM37" i="13" s="1"/>
  <c r="AN37" i="13" a="1"/>
  <c r="AN37" i="13" s="1"/>
  <c r="AO37" i="13" a="1"/>
  <c r="AO37" i="13" s="1"/>
  <c r="AP37" i="13" a="1"/>
  <c r="AP37" i="13" s="1"/>
  <c r="AQ37" i="13" a="1"/>
  <c r="AQ37" i="13" s="1"/>
  <c r="AV37" i="13"/>
  <c r="AW37" i="13" s="1"/>
  <c r="BB37" i="13"/>
  <c r="BC37" i="13" s="1"/>
  <c r="BE37" i="13"/>
  <c r="BI37" i="13"/>
  <c r="AE38" i="13" a="1"/>
  <c r="AE38" i="13" s="1"/>
  <c r="AF38" i="13" a="1"/>
  <c r="AF38" i="13" s="1"/>
  <c r="AG38" i="13" a="1"/>
  <c r="AG38" i="13" s="1"/>
  <c r="AH38" i="13" a="1"/>
  <c r="AH38" i="13" s="1"/>
  <c r="AI38" i="13" a="1"/>
  <c r="AI38" i="13" s="1"/>
  <c r="AJ38" i="13" a="1"/>
  <c r="AJ38" i="13" s="1"/>
  <c r="AK38" i="13" a="1"/>
  <c r="AK38" i="13" s="1"/>
  <c r="AL38" i="13" a="1"/>
  <c r="AL38" i="13" s="1"/>
  <c r="AM38" i="13" a="1"/>
  <c r="AM38" i="13" s="1"/>
  <c r="AN38" i="13" a="1"/>
  <c r="AN38" i="13" s="1"/>
  <c r="AO38" i="13" a="1"/>
  <c r="AO38" i="13" s="1"/>
  <c r="AP38" i="13" a="1"/>
  <c r="AP38" i="13" s="1"/>
  <c r="AQ38" i="13" a="1"/>
  <c r="AQ38" i="13" s="1"/>
  <c r="AV38" i="13"/>
  <c r="AW38" i="13" s="1"/>
  <c r="BB38" i="13"/>
  <c r="BC38" i="13" s="1"/>
  <c r="BE38" i="13"/>
  <c r="BI38" i="13"/>
  <c r="AE39" i="13" a="1"/>
  <c r="AE39" i="13" s="1"/>
  <c r="AF39" i="13" a="1"/>
  <c r="AF39" i="13" s="1"/>
  <c r="AG39" i="13" a="1"/>
  <c r="AG39" i="13" s="1"/>
  <c r="AH39" i="13" a="1"/>
  <c r="AH39" i="13" s="1"/>
  <c r="AI39" i="13" a="1"/>
  <c r="AI39" i="13" s="1"/>
  <c r="AJ39" i="13" a="1"/>
  <c r="AJ39" i="13" s="1"/>
  <c r="AK39" i="13" a="1"/>
  <c r="AK39" i="13" s="1"/>
  <c r="AL39" i="13" a="1"/>
  <c r="AL39" i="13" s="1"/>
  <c r="AM39" i="13" a="1"/>
  <c r="AM39" i="13" s="1"/>
  <c r="AN39" i="13" a="1"/>
  <c r="AN39" i="13" s="1"/>
  <c r="AO39" i="13" a="1"/>
  <c r="AO39" i="13" s="1"/>
  <c r="AP39" i="13" a="1"/>
  <c r="AP39" i="13" s="1"/>
  <c r="AQ39" i="13" a="1"/>
  <c r="AQ39" i="13" s="1"/>
  <c r="AV39" i="13"/>
  <c r="AW39" i="13" s="1"/>
  <c r="BB39" i="13"/>
  <c r="BC39" i="13" s="1"/>
  <c r="BE39" i="13"/>
  <c r="BI39" i="13"/>
  <c r="AE40" i="13" a="1"/>
  <c r="AE40" i="13" s="1"/>
  <c r="AF40" i="13" a="1"/>
  <c r="AF40" i="13" s="1"/>
  <c r="AG40" i="13" a="1"/>
  <c r="AG40" i="13" s="1"/>
  <c r="AH40" i="13" a="1"/>
  <c r="AH40" i="13" s="1"/>
  <c r="AI40" i="13" a="1"/>
  <c r="AI40" i="13" s="1"/>
  <c r="AJ40" i="13" a="1"/>
  <c r="AJ40" i="13" s="1"/>
  <c r="AK40" i="13" a="1"/>
  <c r="AK40" i="13" s="1"/>
  <c r="AL40" i="13" a="1"/>
  <c r="AL40" i="13" s="1"/>
  <c r="AM40" i="13" a="1"/>
  <c r="AM40" i="13" s="1"/>
  <c r="AN40" i="13" a="1"/>
  <c r="AN40" i="13" s="1"/>
  <c r="AO40" i="13" a="1"/>
  <c r="AO40" i="13" s="1"/>
  <c r="AP40" i="13" a="1"/>
  <c r="AP40" i="13" s="1"/>
  <c r="AQ40" i="13" a="1"/>
  <c r="AQ40" i="13" s="1"/>
  <c r="AV40" i="13"/>
  <c r="AW40" i="13" s="1"/>
  <c r="BB40" i="13"/>
  <c r="BC40" i="13" s="1"/>
  <c r="BE40" i="13"/>
  <c r="BI40" i="13"/>
  <c r="AE41" i="13" a="1"/>
  <c r="AE41" i="13" s="1"/>
  <c r="AF41" i="13" a="1"/>
  <c r="AF41" i="13" s="1"/>
  <c r="AG41" i="13" a="1"/>
  <c r="AG41" i="13" s="1"/>
  <c r="AH41" i="13" a="1"/>
  <c r="AH41" i="13" s="1"/>
  <c r="AI41" i="13" a="1"/>
  <c r="AI41" i="13" s="1"/>
  <c r="AJ41" i="13" a="1"/>
  <c r="AJ41" i="13" s="1"/>
  <c r="AK41" i="13" a="1"/>
  <c r="AK41" i="13" s="1"/>
  <c r="AL41" i="13" a="1"/>
  <c r="AL41" i="13" s="1"/>
  <c r="AM41" i="13" a="1"/>
  <c r="AM41" i="13" s="1"/>
  <c r="AN41" i="13" a="1"/>
  <c r="AN41" i="13" s="1"/>
  <c r="AO41" i="13" a="1"/>
  <c r="AO41" i="13" s="1"/>
  <c r="AP41" i="13" a="1"/>
  <c r="AP41" i="13" s="1"/>
  <c r="AQ41" i="13" a="1"/>
  <c r="AQ41" i="13" s="1"/>
  <c r="AV41" i="13"/>
  <c r="AW41" i="13" s="1"/>
  <c r="BB41" i="13"/>
  <c r="BC41" i="13" s="1"/>
  <c r="BE41" i="13"/>
  <c r="BI41" i="13"/>
  <c r="AE42" i="13" a="1"/>
  <c r="AE42" i="13" s="1"/>
  <c r="AF42" i="13" a="1"/>
  <c r="AF42" i="13" s="1"/>
  <c r="AG42" i="13" a="1"/>
  <c r="AG42" i="13" s="1"/>
  <c r="AH42" i="13" a="1"/>
  <c r="AH42" i="13" s="1"/>
  <c r="AI42" i="13" a="1"/>
  <c r="AI42" i="13" s="1"/>
  <c r="AJ42" i="13" a="1"/>
  <c r="AJ42" i="13" s="1"/>
  <c r="AK42" i="13" a="1"/>
  <c r="AK42" i="13" s="1"/>
  <c r="AL42" i="13" a="1"/>
  <c r="AL42" i="13" s="1"/>
  <c r="AM42" i="13" a="1"/>
  <c r="AM42" i="13" s="1"/>
  <c r="AN42" i="13" a="1"/>
  <c r="AN42" i="13" s="1"/>
  <c r="AO42" i="13" a="1"/>
  <c r="AO42" i="13" s="1"/>
  <c r="AP42" i="13" a="1"/>
  <c r="AP42" i="13" s="1"/>
  <c r="AQ42" i="13" a="1"/>
  <c r="AQ42" i="13" s="1"/>
  <c r="AV42" i="13"/>
  <c r="AW42" i="13" s="1"/>
  <c r="BB42" i="13"/>
  <c r="BC42" i="13" s="1"/>
  <c r="BE42" i="13"/>
  <c r="BI42" i="13"/>
  <c r="AE43" i="13" a="1"/>
  <c r="AE43" i="13" s="1"/>
  <c r="AF43" i="13" a="1"/>
  <c r="AF43" i="13" s="1"/>
  <c r="AG43" i="13" a="1"/>
  <c r="AG43" i="13" s="1"/>
  <c r="AH43" i="13" a="1"/>
  <c r="AH43" i="13" s="1"/>
  <c r="AI43" i="13" a="1"/>
  <c r="AI43" i="13" s="1"/>
  <c r="AJ43" i="13" a="1"/>
  <c r="AJ43" i="13" s="1"/>
  <c r="AK43" i="13" a="1"/>
  <c r="AK43" i="13" s="1"/>
  <c r="AL43" i="13" a="1"/>
  <c r="AL43" i="13" s="1"/>
  <c r="AM43" i="13" a="1"/>
  <c r="AM43" i="13" s="1"/>
  <c r="AN43" i="13" a="1"/>
  <c r="AN43" i="13" s="1"/>
  <c r="AO43" i="13" a="1"/>
  <c r="AO43" i="13" s="1"/>
  <c r="AP43" i="13" a="1"/>
  <c r="AP43" i="13" s="1"/>
  <c r="AQ43" i="13" a="1"/>
  <c r="AQ43" i="13" s="1"/>
  <c r="AV43" i="13"/>
  <c r="AW43" i="13" s="1"/>
  <c r="BB43" i="13"/>
  <c r="BC43" i="13" s="1"/>
  <c r="BE43" i="13"/>
  <c r="BI43" i="13"/>
  <c r="AE44" i="13" a="1"/>
  <c r="AE44" i="13" s="1"/>
  <c r="AF44" i="13" a="1"/>
  <c r="AF44" i="13" s="1"/>
  <c r="AG44" i="13" a="1"/>
  <c r="AG44" i="13" s="1"/>
  <c r="AH44" i="13" a="1"/>
  <c r="AH44" i="13" s="1"/>
  <c r="AI44" i="13" a="1"/>
  <c r="AI44" i="13" s="1"/>
  <c r="AJ44" i="13" a="1"/>
  <c r="AJ44" i="13" s="1"/>
  <c r="AK44" i="13" a="1"/>
  <c r="AK44" i="13" s="1"/>
  <c r="AL44" i="13" a="1"/>
  <c r="AL44" i="13" s="1"/>
  <c r="AM44" i="13" a="1"/>
  <c r="AM44" i="13" s="1"/>
  <c r="AN44" i="13" a="1"/>
  <c r="AN44" i="13" s="1"/>
  <c r="AO44" i="13" a="1"/>
  <c r="AO44" i="13" s="1"/>
  <c r="AP44" i="13" a="1"/>
  <c r="AP44" i="13" s="1"/>
  <c r="AQ44" i="13" a="1"/>
  <c r="AQ44" i="13" s="1"/>
  <c r="AV44" i="13"/>
  <c r="AW44" i="13" s="1"/>
  <c r="BB44" i="13"/>
  <c r="BC44" i="13" s="1"/>
  <c r="BE44" i="13"/>
  <c r="BI44" i="13"/>
  <c r="AE45" i="13" a="1"/>
  <c r="AE45" i="13" s="1"/>
  <c r="AF45" i="13" a="1"/>
  <c r="AF45" i="13" s="1"/>
  <c r="AG45" i="13" a="1"/>
  <c r="AG45" i="13" s="1"/>
  <c r="AH45" i="13" a="1"/>
  <c r="AH45" i="13" s="1"/>
  <c r="AI45" i="13" a="1"/>
  <c r="AI45" i="13" s="1"/>
  <c r="AJ45" i="13" a="1"/>
  <c r="AJ45" i="13" s="1"/>
  <c r="AK45" i="13" a="1"/>
  <c r="AK45" i="13" s="1"/>
  <c r="AL45" i="13" a="1"/>
  <c r="AL45" i="13" s="1"/>
  <c r="AM45" i="13" a="1"/>
  <c r="AM45" i="13" s="1"/>
  <c r="AN45" i="13" a="1"/>
  <c r="AN45" i="13" s="1"/>
  <c r="AO45" i="13" a="1"/>
  <c r="AO45" i="13" s="1"/>
  <c r="AP45" i="13" a="1"/>
  <c r="AP45" i="13" s="1"/>
  <c r="AQ45" i="13" a="1"/>
  <c r="AQ45" i="13" s="1"/>
  <c r="AV45" i="13"/>
  <c r="AW45" i="13" s="1"/>
  <c r="BB45" i="13"/>
  <c r="BC45" i="13" s="1"/>
  <c r="BE45" i="13"/>
  <c r="BI45" i="13"/>
  <c r="AE46" i="13" a="1"/>
  <c r="AE46" i="13" s="1"/>
  <c r="AF46" i="13" a="1"/>
  <c r="AF46" i="13" s="1"/>
  <c r="AG46" i="13" a="1"/>
  <c r="AG46" i="13" s="1"/>
  <c r="AH46" i="13" a="1"/>
  <c r="AH46" i="13" s="1"/>
  <c r="AI46" i="13" a="1"/>
  <c r="AI46" i="13" s="1"/>
  <c r="AJ46" i="13" a="1"/>
  <c r="AJ46" i="13" s="1"/>
  <c r="AK46" i="13" a="1"/>
  <c r="AK46" i="13" s="1"/>
  <c r="AL46" i="13" a="1"/>
  <c r="AL46" i="13" s="1"/>
  <c r="AM46" i="13" a="1"/>
  <c r="AM46" i="13" s="1"/>
  <c r="AN46" i="13" a="1"/>
  <c r="AN46" i="13" s="1"/>
  <c r="AO46" i="13" a="1"/>
  <c r="AO46" i="13" s="1"/>
  <c r="AP46" i="13" a="1"/>
  <c r="AP46" i="13" s="1"/>
  <c r="AQ46" i="13" a="1"/>
  <c r="AQ46" i="13" s="1"/>
  <c r="AV46" i="13"/>
  <c r="AW46" i="13" s="1"/>
  <c r="BB46" i="13"/>
  <c r="BC46" i="13" s="1"/>
  <c r="BE46" i="13"/>
  <c r="BI46" i="13"/>
  <c r="AE47" i="13" a="1"/>
  <c r="AE47" i="13" s="1"/>
  <c r="AF47" i="13" a="1"/>
  <c r="AF47" i="13" s="1"/>
  <c r="AG47" i="13" a="1"/>
  <c r="AG47" i="13" s="1"/>
  <c r="AH47" i="13" a="1"/>
  <c r="AH47" i="13" s="1"/>
  <c r="AI47" i="13" a="1"/>
  <c r="AI47" i="13" s="1"/>
  <c r="AJ47" i="13" a="1"/>
  <c r="AJ47" i="13" s="1"/>
  <c r="AK47" i="13" a="1"/>
  <c r="AK47" i="13" s="1"/>
  <c r="AL47" i="13" a="1"/>
  <c r="AL47" i="13" s="1"/>
  <c r="AM47" i="13" a="1"/>
  <c r="AM47" i="13" s="1"/>
  <c r="AN47" i="13" a="1"/>
  <c r="AN47" i="13" s="1"/>
  <c r="AO47" i="13" a="1"/>
  <c r="AO47" i="13" s="1"/>
  <c r="AP47" i="13" a="1"/>
  <c r="AP47" i="13" s="1"/>
  <c r="AQ47" i="13" a="1"/>
  <c r="AQ47" i="13" s="1"/>
  <c r="AV47" i="13"/>
  <c r="AW47" i="13" s="1"/>
  <c r="BB47" i="13"/>
  <c r="BC47" i="13" s="1"/>
  <c r="BE47" i="13"/>
  <c r="BI47" i="13"/>
  <c r="AE48" i="13" a="1"/>
  <c r="AE48" i="13" s="1"/>
  <c r="AF48" i="13" a="1"/>
  <c r="AF48" i="13" s="1"/>
  <c r="AG48" i="13" a="1"/>
  <c r="AG48" i="13" s="1"/>
  <c r="AH48" i="13" a="1"/>
  <c r="AH48" i="13" s="1"/>
  <c r="AI48" i="13" a="1"/>
  <c r="AI48" i="13" s="1"/>
  <c r="AJ48" i="13" a="1"/>
  <c r="AJ48" i="13" s="1"/>
  <c r="AK48" i="13" a="1"/>
  <c r="AK48" i="13" s="1"/>
  <c r="AL48" i="13" a="1"/>
  <c r="AL48" i="13" s="1"/>
  <c r="AM48" i="13" a="1"/>
  <c r="AM48" i="13" s="1"/>
  <c r="AN48" i="13" a="1"/>
  <c r="AN48" i="13" s="1"/>
  <c r="AO48" i="13" a="1"/>
  <c r="AO48" i="13" s="1"/>
  <c r="AP48" i="13" a="1"/>
  <c r="AP48" i="13" s="1"/>
  <c r="AQ48" i="13" a="1"/>
  <c r="AQ48" i="13" s="1"/>
  <c r="AV48" i="13"/>
  <c r="AW48" i="13" s="1"/>
  <c r="BB48" i="13"/>
  <c r="BC48" i="13" s="1"/>
  <c r="BE48" i="13"/>
  <c r="BI48" i="13"/>
  <c r="AE49" i="13" a="1"/>
  <c r="AE49" i="13" s="1"/>
  <c r="AF49" i="13" a="1"/>
  <c r="AF49" i="13" s="1"/>
  <c r="AG49" i="13" a="1"/>
  <c r="AG49" i="13" s="1"/>
  <c r="AH49" i="13" a="1"/>
  <c r="AH49" i="13" s="1"/>
  <c r="AI49" i="13" a="1"/>
  <c r="AI49" i="13" s="1"/>
  <c r="AJ49" i="13" a="1"/>
  <c r="AJ49" i="13" s="1"/>
  <c r="AK49" i="13" a="1"/>
  <c r="AK49" i="13" s="1"/>
  <c r="AL49" i="13" a="1"/>
  <c r="AL49" i="13" s="1"/>
  <c r="AM49" i="13" a="1"/>
  <c r="AM49" i="13" s="1"/>
  <c r="AN49" i="13" a="1"/>
  <c r="AN49" i="13" s="1"/>
  <c r="AO49" i="13" a="1"/>
  <c r="AO49" i="13" s="1"/>
  <c r="AP49" i="13" a="1"/>
  <c r="AP49" i="13" s="1"/>
  <c r="AQ49" i="13" a="1"/>
  <c r="AQ49" i="13" s="1"/>
  <c r="AV49" i="13"/>
  <c r="AW49" i="13" s="1"/>
  <c r="BB49" i="13"/>
  <c r="BC49" i="13" s="1"/>
  <c r="BE49" i="13"/>
  <c r="BI49" i="13"/>
  <c r="AE50" i="13" a="1"/>
  <c r="AE50" i="13" s="1"/>
  <c r="AF50" i="13" a="1"/>
  <c r="AF50" i="13" s="1"/>
  <c r="AG50" i="13" a="1"/>
  <c r="AG50" i="13" s="1"/>
  <c r="AH50" i="13" a="1"/>
  <c r="AH50" i="13" s="1"/>
  <c r="AI50" i="13" a="1"/>
  <c r="AI50" i="13" s="1"/>
  <c r="AJ50" i="13" a="1"/>
  <c r="AJ50" i="13" s="1"/>
  <c r="AK50" i="13" a="1"/>
  <c r="AK50" i="13" s="1"/>
  <c r="AL50" i="13" a="1"/>
  <c r="AL50" i="13" s="1"/>
  <c r="AM50" i="13" a="1"/>
  <c r="AM50" i="13" s="1"/>
  <c r="AN50" i="13" a="1"/>
  <c r="AN50" i="13" s="1"/>
  <c r="AO50" i="13" a="1"/>
  <c r="AO50" i="13" s="1"/>
  <c r="AP50" i="13" a="1"/>
  <c r="AP50" i="13" s="1"/>
  <c r="AQ50" i="13" a="1"/>
  <c r="AQ50" i="13" s="1"/>
  <c r="AV50" i="13"/>
  <c r="AW50" i="13" s="1"/>
  <c r="BB50" i="13"/>
  <c r="BC50" i="13" s="1"/>
  <c r="BE50" i="13"/>
  <c r="BI50" i="13"/>
  <c r="AE51" i="13" a="1"/>
  <c r="AE51" i="13" s="1"/>
  <c r="AF51" i="13" a="1"/>
  <c r="AF51" i="13" s="1"/>
  <c r="AG51" i="13" a="1"/>
  <c r="AG51" i="13" s="1"/>
  <c r="AH51" i="13" a="1"/>
  <c r="AH51" i="13" s="1"/>
  <c r="AI51" i="13" a="1"/>
  <c r="AI51" i="13" s="1"/>
  <c r="AJ51" i="13" a="1"/>
  <c r="AJ51" i="13" s="1"/>
  <c r="AK51" i="13" a="1"/>
  <c r="AK51" i="13" s="1"/>
  <c r="AL51" i="13" a="1"/>
  <c r="AL51" i="13" s="1"/>
  <c r="AM51" i="13" a="1"/>
  <c r="AM51" i="13" s="1"/>
  <c r="AN51" i="13" a="1"/>
  <c r="AN51" i="13" s="1"/>
  <c r="AO51" i="13" a="1"/>
  <c r="AO51" i="13" s="1"/>
  <c r="AP51" i="13" a="1"/>
  <c r="AP51" i="13" s="1"/>
  <c r="AQ51" i="13" a="1"/>
  <c r="AQ51" i="13" s="1"/>
  <c r="AV51" i="13"/>
  <c r="AW51" i="13" s="1"/>
  <c r="BB51" i="13"/>
  <c r="BC51" i="13" s="1"/>
  <c r="BE51" i="13"/>
  <c r="BI51" i="13"/>
  <c r="AE52" i="13" a="1"/>
  <c r="AE52" i="13" s="1"/>
  <c r="AF52" i="13" a="1"/>
  <c r="AF52" i="13" s="1"/>
  <c r="AG52" i="13" a="1"/>
  <c r="AG52" i="13" s="1"/>
  <c r="AH52" i="13" a="1"/>
  <c r="AH52" i="13" s="1"/>
  <c r="AI52" i="13" a="1"/>
  <c r="AI52" i="13" s="1"/>
  <c r="AJ52" i="13" a="1"/>
  <c r="AJ52" i="13" s="1"/>
  <c r="AK52" i="13" a="1"/>
  <c r="AK52" i="13" s="1"/>
  <c r="AL52" i="13" a="1"/>
  <c r="AL52" i="13" s="1"/>
  <c r="AM52" i="13" a="1"/>
  <c r="AM52" i="13" s="1"/>
  <c r="AN52" i="13" a="1"/>
  <c r="AN52" i="13" s="1"/>
  <c r="AO52" i="13" a="1"/>
  <c r="AO52" i="13" s="1"/>
  <c r="AP52" i="13" a="1"/>
  <c r="AP52" i="13" s="1"/>
  <c r="AQ52" i="13" a="1"/>
  <c r="AQ52" i="13" s="1"/>
  <c r="AV52" i="13"/>
  <c r="AW52" i="13" s="1"/>
  <c r="BB52" i="13"/>
  <c r="BC52" i="13" s="1"/>
  <c r="BE52" i="13"/>
  <c r="BI52" i="13"/>
  <c r="AE53" i="13" a="1"/>
  <c r="AE53" i="13" s="1"/>
  <c r="AF53" i="13" a="1"/>
  <c r="AF53" i="13" s="1"/>
  <c r="AG53" i="13" a="1"/>
  <c r="AG53" i="13" s="1"/>
  <c r="AH53" i="13" a="1"/>
  <c r="AH53" i="13" s="1"/>
  <c r="AI53" i="13" a="1"/>
  <c r="AI53" i="13" s="1"/>
  <c r="AJ53" i="13" a="1"/>
  <c r="AJ53" i="13" s="1"/>
  <c r="AK53" i="13" a="1"/>
  <c r="AK53" i="13" s="1"/>
  <c r="AL53" i="13" a="1"/>
  <c r="AL53" i="13" s="1"/>
  <c r="AM53" i="13" a="1"/>
  <c r="AM53" i="13" s="1"/>
  <c r="AN53" i="13" a="1"/>
  <c r="AN53" i="13" s="1"/>
  <c r="AO53" i="13" a="1"/>
  <c r="AO53" i="13" s="1"/>
  <c r="AP53" i="13" a="1"/>
  <c r="AP53" i="13" s="1"/>
  <c r="AQ53" i="13" a="1"/>
  <c r="AQ53" i="13" s="1"/>
  <c r="AV53" i="13"/>
  <c r="AW53" i="13" s="1"/>
  <c r="BB53" i="13"/>
  <c r="BC53" i="13" s="1"/>
  <c r="BE53" i="13"/>
  <c r="BI53" i="13"/>
  <c r="AE54" i="13" a="1"/>
  <c r="AE54" i="13" s="1"/>
  <c r="AF54" i="13" a="1"/>
  <c r="AF54" i="13" s="1"/>
  <c r="AG54" i="13" a="1"/>
  <c r="AG54" i="13" s="1"/>
  <c r="AH54" i="13" a="1"/>
  <c r="AH54" i="13" s="1"/>
  <c r="AI54" i="13" a="1"/>
  <c r="AI54" i="13" s="1"/>
  <c r="AJ54" i="13" a="1"/>
  <c r="AJ54" i="13" s="1"/>
  <c r="AK54" i="13" a="1"/>
  <c r="AK54" i="13" s="1"/>
  <c r="AL54" i="13" a="1"/>
  <c r="AL54" i="13" s="1"/>
  <c r="AM54" i="13" a="1"/>
  <c r="AM54" i="13" s="1"/>
  <c r="AN54" i="13" a="1"/>
  <c r="AN54" i="13" s="1"/>
  <c r="AO54" i="13" a="1"/>
  <c r="AO54" i="13" s="1"/>
  <c r="AP54" i="13" a="1"/>
  <c r="AP54" i="13" s="1"/>
  <c r="AQ54" i="13" a="1"/>
  <c r="AQ54" i="13" s="1"/>
  <c r="AV54" i="13"/>
  <c r="AW54" i="13" s="1"/>
  <c r="BB54" i="13"/>
  <c r="BC54" i="13" s="1"/>
  <c r="BE54" i="13"/>
  <c r="BI54" i="13"/>
  <c r="AE55" i="13" a="1"/>
  <c r="AE55" i="13" s="1"/>
  <c r="AF55" i="13" a="1"/>
  <c r="AF55" i="13" s="1"/>
  <c r="AG55" i="13" a="1"/>
  <c r="AG55" i="13" s="1"/>
  <c r="AH55" i="13" a="1"/>
  <c r="AH55" i="13" s="1"/>
  <c r="AI55" i="13" a="1"/>
  <c r="AI55" i="13" s="1"/>
  <c r="AJ55" i="13" a="1"/>
  <c r="AJ55" i="13" s="1"/>
  <c r="AK55" i="13" a="1"/>
  <c r="AK55" i="13" s="1"/>
  <c r="AL55" i="13" a="1"/>
  <c r="AL55" i="13" s="1"/>
  <c r="AM55" i="13" a="1"/>
  <c r="AM55" i="13" s="1"/>
  <c r="AN55" i="13" a="1"/>
  <c r="AN55" i="13" s="1"/>
  <c r="AO55" i="13" a="1"/>
  <c r="AO55" i="13" s="1"/>
  <c r="AP55" i="13" a="1"/>
  <c r="AP55" i="13" s="1"/>
  <c r="AQ55" i="13" a="1"/>
  <c r="AQ55" i="13" s="1"/>
  <c r="AV55" i="13"/>
  <c r="AW55" i="13" s="1"/>
  <c r="BB55" i="13"/>
  <c r="BC55" i="13" s="1"/>
  <c r="BE55" i="13"/>
  <c r="BI55" i="13"/>
  <c r="AE56" i="13" a="1"/>
  <c r="AE56" i="13" s="1"/>
  <c r="AF56" i="13" a="1"/>
  <c r="AF56" i="13" s="1"/>
  <c r="AG56" i="13" a="1"/>
  <c r="AG56" i="13" s="1"/>
  <c r="AH56" i="13" a="1"/>
  <c r="AH56" i="13" s="1"/>
  <c r="AI56" i="13" a="1"/>
  <c r="AI56" i="13" s="1"/>
  <c r="AJ56" i="13" a="1"/>
  <c r="AJ56" i="13" s="1"/>
  <c r="AK56" i="13" a="1"/>
  <c r="AK56" i="13" s="1"/>
  <c r="AL56" i="13" a="1"/>
  <c r="AL56" i="13" s="1"/>
  <c r="AM56" i="13" a="1"/>
  <c r="AM56" i="13" s="1"/>
  <c r="AN56" i="13" a="1"/>
  <c r="AN56" i="13" s="1"/>
  <c r="AO56" i="13" a="1"/>
  <c r="AO56" i="13" s="1"/>
  <c r="AP56" i="13" a="1"/>
  <c r="AP56" i="13" s="1"/>
  <c r="AQ56" i="13" a="1"/>
  <c r="AQ56" i="13" s="1"/>
  <c r="AV56" i="13"/>
  <c r="AW56" i="13" s="1"/>
  <c r="BB56" i="13"/>
  <c r="BC56" i="13" s="1"/>
  <c r="BE56" i="13"/>
  <c r="BI56" i="13"/>
  <c r="AE57" i="13" a="1"/>
  <c r="AE57" i="13" s="1"/>
  <c r="AF57" i="13" a="1"/>
  <c r="AF57" i="13" s="1"/>
  <c r="AG57" i="13" a="1"/>
  <c r="AG57" i="13" s="1"/>
  <c r="AH57" i="13" a="1"/>
  <c r="AH57" i="13" s="1"/>
  <c r="AI57" i="13" a="1"/>
  <c r="AI57" i="13" s="1"/>
  <c r="AJ57" i="13" a="1"/>
  <c r="AJ57" i="13" s="1"/>
  <c r="AK57" i="13" a="1"/>
  <c r="AK57" i="13" s="1"/>
  <c r="AL57" i="13" a="1"/>
  <c r="AL57" i="13" s="1"/>
  <c r="AM57" i="13" a="1"/>
  <c r="AM57" i="13" s="1"/>
  <c r="AN57" i="13" a="1"/>
  <c r="AN57" i="13" s="1"/>
  <c r="AO57" i="13" a="1"/>
  <c r="AO57" i="13" s="1"/>
  <c r="AP57" i="13" a="1"/>
  <c r="AP57" i="13" s="1"/>
  <c r="AQ57" i="13" a="1"/>
  <c r="AQ57" i="13" s="1"/>
  <c r="AV57" i="13"/>
  <c r="AW57" i="13" s="1"/>
  <c r="BB57" i="13"/>
  <c r="BC57" i="13" s="1"/>
  <c r="BE57" i="13"/>
  <c r="BI57" i="13"/>
  <c r="AE58" i="13" a="1"/>
  <c r="AE58" i="13" s="1"/>
  <c r="AF58" i="13" a="1"/>
  <c r="AF58" i="13" s="1"/>
  <c r="AG58" i="13" a="1"/>
  <c r="AG58" i="13" s="1"/>
  <c r="AH58" i="13" a="1"/>
  <c r="AH58" i="13" s="1"/>
  <c r="AI58" i="13" a="1"/>
  <c r="AI58" i="13" s="1"/>
  <c r="AJ58" i="13" a="1"/>
  <c r="AJ58" i="13" s="1"/>
  <c r="AK58" i="13" a="1"/>
  <c r="AK58" i="13" s="1"/>
  <c r="AL58" i="13" a="1"/>
  <c r="AL58" i="13" s="1"/>
  <c r="AM58" i="13" a="1"/>
  <c r="AM58" i="13" s="1"/>
  <c r="AN58" i="13" a="1"/>
  <c r="AN58" i="13" s="1"/>
  <c r="AO58" i="13" a="1"/>
  <c r="AO58" i="13" s="1"/>
  <c r="AP58" i="13" a="1"/>
  <c r="AP58" i="13" s="1"/>
  <c r="AQ58" i="13" a="1"/>
  <c r="AQ58" i="13" s="1"/>
  <c r="AV58" i="13"/>
  <c r="AW58" i="13" s="1"/>
  <c r="BB58" i="13"/>
  <c r="BC58" i="13" s="1"/>
  <c r="BE58" i="13"/>
  <c r="BI58" i="13"/>
  <c r="AE59" i="13" a="1"/>
  <c r="AE59" i="13" s="1"/>
  <c r="AF59" i="13" a="1"/>
  <c r="AF59" i="13" s="1"/>
  <c r="AG59" i="13" a="1"/>
  <c r="AG59" i="13" s="1"/>
  <c r="AH59" i="13" a="1"/>
  <c r="AH59" i="13" s="1"/>
  <c r="AI59" i="13" a="1"/>
  <c r="AI59" i="13" s="1"/>
  <c r="AJ59" i="13" a="1"/>
  <c r="AJ59" i="13" s="1"/>
  <c r="AK59" i="13" a="1"/>
  <c r="AK59" i="13" s="1"/>
  <c r="AL59" i="13" a="1"/>
  <c r="AL59" i="13" s="1"/>
  <c r="AM59" i="13" a="1"/>
  <c r="AM59" i="13" s="1"/>
  <c r="AN59" i="13" a="1"/>
  <c r="AN59" i="13" s="1"/>
  <c r="AO59" i="13" a="1"/>
  <c r="AO59" i="13" s="1"/>
  <c r="AP59" i="13" a="1"/>
  <c r="AP59" i="13" s="1"/>
  <c r="AQ59" i="13" a="1"/>
  <c r="AQ59" i="13" s="1"/>
  <c r="AV59" i="13"/>
  <c r="AW59" i="13" s="1"/>
  <c r="BB59" i="13"/>
  <c r="BC59" i="13" s="1"/>
  <c r="BE59" i="13"/>
  <c r="BI59" i="13"/>
  <c r="AE60" i="13" a="1"/>
  <c r="AE60" i="13" s="1"/>
  <c r="AF60" i="13" a="1"/>
  <c r="AF60" i="13" s="1"/>
  <c r="AG60" i="13" a="1"/>
  <c r="AG60" i="13" s="1"/>
  <c r="AH60" i="13" a="1"/>
  <c r="AH60" i="13" s="1"/>
  <c r="AI60" i="13" a="1"/>
  <c r="AI60" i="13" s="1"/>
  <c r="AJ60" i="13" a="1"/>
  <c r="AJ60" i="13" s="1"/>
  <c r="AK60" i="13" a="1"/>
  <c r="AK60" i="13" s="1"/>
  <c r="AL60" i="13" a="1"/>
  <c r="AL60" i="13" s="1"/>
  <c r="AM60" i="13" a="1"/>
  <c r="AM60" i="13" s="1"/>
  <c r="AN60" i="13" a="1"/>
  <c r="AN60" i="13" s="1"/>
  <c r="AO60" i="13" a="1"/>
  <c r="AO60" i="13" s="1"/>
  <c r="AP60" i="13" a="1"/>
  <c r="AP60" i="13" s="1"/>
  <c r="AQ60" i="13" a="1"/>
  <c r="AQ60" i="13" s="1"/>
  <c r="AV60" i="13"/>
  <c r="AW60" i="13" s="1"/>
  <c r="BB60" i="13"/>
  <c r="BC60" i="13" s="1"/>
  <c r="BE60" i="13"/>
  <c r="BI60" i="13"/>
  <c r="AE61" i="13" a="1"/>
  <c r="AE61" i="13" s="1"/>
  <c r="AF61" i="13" a="1"/>
  <c r="AF61" i="13" s="1"/>
  <c r="AG61" i="13" a="1"/>
  <c r="AG61" i="13" s="1"/>
  <c r="AH61" i="13" a="1"/>
  <c r="AH61" i="13" s="1"/>
  <c r="AI61" i="13" a="1"/>
  <c r="AI61" i="13" s="1"/>
  <c r="AJ61" i="13" a="1"/>
  <c r="AJ61" i="13" s="1"/>
  <c r="AK61" i="13" a="1"/>
  <c r="AK61" i="13" s="1"/>
  <c r="AL61" i="13" a="1"/>
  <c r="AL61" i="13" s="1"/>
  <c r="AM61" i="13" a="1"/>
  <c r="AM61" i="13" s="1"/>
  <c r="AN61" i="13" a="1"/>
  <c r="AN61" i="13" s="1"/>
  <c r="AO61" i="13" a="1"/>
  <c r="AO61" i="13" s="1"/>
  <c r="AP61" i="13" a="1"/>
  <c r="AP61" i="13" s="1"/>
  <c r="AQ61" i="13" a="1"/>
  <c r="AQ61" i="13" s="1"/>
  <c r="AV61" i="13"/>
  <c r="AW61" i="13" s="1"/>
  <c r="BB61" i="13"/>
  <c r="BC61" i="13" s="1"/>
  <c r="BE61" i="13"/>
  <c r="BI61" i="13"/>
  <c r="AE62" i="13" a="1"/>
  <c r="AE62" i="13" s="1"/>
  <c r="AF62" i="13" a="1"/>
  <c r="AF62" i="13" s="1"/>
  <c r="AG62" i="13" a="1"/>
  <c r="AG62" i="13" s="1"/>
  <c r="AH62" i="13" a="1"/>
  <c r="AH62" i="13" s="1"/>
  <c r="AI62" i="13" a="1"/>
  <c r="AI62" i="13" s="1"/>
  <c r="AJ62" i="13" a="1"/>
  <c r="AJ62" i="13" s="1"/>
  <c r="AK62" i="13" a="1"/>
  <c r="AK62" i="13" s="1"/>
  <c r="AL62" i="13" a="1"/>
  <c r="AL62" i="13" s="1"/>
  <c r="AM62" i="13" a="1"/>
  <c r="AM62" i="13" s="1"/>
  <c r="AN62" i="13" a="1"/>
  <c r="AN62" i="13" s="1"/>
  <c r="AO62" i="13" a="1"/>
  <c r="AO62" i="13" s="1"/>
  <c r="AP62" i="13" a="1"/>
  <c r="AP62" i="13" s="1"/>
  <c r="AQ62" i="13" a="1"/>
  <c r="AQ62" i="13" s="1"/>
  <c r="AV62" i="13"/>
  <c r="AW62" i="13" s="1"/>
  <c r="BB62" i="13"/>
  <c r="BC62" i="13" s="1"/>
  <c r="BE62" i="13"/>
  <c r="BI62" i="13"/>
  <c r="AE63" i="13" a="1"/>
  <c r="AE63" i="13" s="1"/>
  <c r="AF63" i="13" a="1"/>
  <c r="AF63" i="13" s="1"/>
  <c r="AG63" i="13" a="1"/>
  <c r="AG63" i="13" s="1"/>
  <c r="AH63" i="13" a="1"/>
  <c r="AH63" i="13" s="1"/>
  <c r="AI63" i="13" a="1"/>
  <c r="AI63" i="13" s="1"/>
  <c r="AJ63" i="13" a="1"/>
  <c r="AJ63" i="13" s="1"/>
  <c r="AK63" i="13" a="1"/>
  <c r="AK63" i="13" s="1"/>
  <c r="AL63" i="13" a="1"/>
  <c r="AL63" i="13" s="1"/>
  <c r="AM63" i="13" a="1"/>
  <c r="AM63" i="13" s="1"/>
  <c r="AN63" i="13" a="1"/>
  <c r="AN63" i="13" s="1"/>
  <c r="AO63" i="13" a="1"/>
  <c r="AO63" i="13" s="1"/>
  <c r="AP63" i="13" a="1"/>
  <c r="AP63" i="13" s="1"/>
  <c r="AQ63" i="13" a="1"/>
  <c r="AQ63" i="13" s="1"/>
  <c r="AV63" i="13"/>
  <c r="AW63" i="13" s="1"/>
  <c r="BB63" i="13"/>
  <c r="BC63" i="13" s="1"/>
  <c r="BE63" i="13"/>
  <c r="BI63" i="13"/>
  <c r="AE64" i="13" a="1"/>
  <c r="AE64" i="13" s="1"/>
  <c r="AF64" i="13" a="1"/>
  <c r="AF64" i="13" s="1"/>
  <c r="AG64" i="13" a="1"/>
  <c r="AG64" i="13" s="1"/>
  <c r="AH64" i="13" a="1"/>
  <c r="AH64" i="13" s="1"/>
  <c r="AI64" i="13" a="1"/>
  <c r="AI64" i="13" s="1"/>
  <c r="AJ64" i="13" a="1"/>
  <c r="AJ64" i="13" s="1"/>
  <c r="AK64" i="13" a="1"/>
  <c r="AK64" i="13" s="1"/>
  <c r="AL64" i="13" a="1"/>
  <c r="AL64" i="13" s="1"/>
  <c r="AM64" i="13" a="1"/>
  <c r="AM64" i="13" s="1"/>
  <c r="AN64" i="13" a="1"/>
  <c r="AN64" i="13" s="1"/>
  <c r="AO64" i="13" a="1"/>
  <c r="AO64" i="13" s="1"/>
  <c r="AP64" i="13" a="1"/>
  <c r="AP64" i="13" s="1"/>
  <c r="AQ64" i="13" a="1"/>
  <c r="AQ64" i="13" s="1"/>
  <c r="AV64" i="13"/>
  <c r="AW64" i="13" s="1"/>
  <c r="BB64" i="13"/>
  <c r="BC64" i="13" s="1"/>
  <c r="BE64" i="13"/>
  <c r="BI64" i="13"/>
  <c r="AE65" i="13" a="1"/>
  <c r="AE65" i="13" s="1"/>
  <c r="AF65" i="13" a="1"/>
  <c r="AF65" i="13" s="1"/>
  <c r="AG65" i="13" a="1"/>
  <c r="AG65" i="13" s="1"/>
  <c r="AH65" i="13" a="1"/>
  <c r="AH65" i="13" s="1"/>
  <c r="AI65" i="13" a="1"/>
  <c r="AI65" i="13" s="1"/>
  <c r="AJ65" i="13" a="1"/>
  <c r="AJ65" i="13" s="1"/>
  <c r="AK65" i="13" a="1"/>
  <c r="AK65" i="13" s="1"/>
  <c r="AL65" i="13" a="1"/>
  <c r="AL65" i="13" s="1"/>
  <c r="AM65" i="13" a="1"/>
  <c r="AM65" i="13" s="1"/>
  <c r="AN65" i="13" a="1"/>
  <c r="AN65" i="13" s="1"/>
  <c r="AO65" i="13" a="1"/>
  <c r="AO65" i="13" s="1"/>
  <c r="AP65" i="13" a="1"/>
  <c r="AP65" i="13" s="1"/>
  <c r="AQ65" i="13" a="1"/>
  <c r="AQ65" i="13" s="1"/>
  <c r="AV65" i="13"/>
  <c r="AW65" i="13" s="1"/>
  <c r="BB65" i="13"/>
  <c r="BC65" i="13" s="1"/>
  <c r="BE65" i="13"/>
  <c r="BI65" i="13"/>
  <c r="AE66" i="13" a="1"/>
  <c r="AE66" i="13" s="1"/>
  <c r="AF66" i="13" a="1"/>
  <c r="AF66" i="13" s="1"/>
  <c r="AG66" i="13" a="1"/>
  <c r="AG66" i="13" s="1"/>
  <c r="AH66" i="13" a="1"/>
  <c r="AH66" i="13" s="1"/>
  <c r="AI66" i="13" a="1"/>
  <c r="AI66" i="13" s="1"/>
  <c r="AJ66" i="13" a="1"/>
  <c r="AJ66" i="13" s="1"/>
  <c r="AK66" i="13" a="1"/>
  <c r="AK66" i="13" s="1"/>
  <c r="AL66" i="13" a="1"/>
  <c r="AL66" i="13" s="1"/>
  <c r="AM66" i="13" a="1"/>
  <c r="AM66" i="13" s="1"/>
  <c r="AN66" i="13" a="1"/>
  <c r="AN66" i="13" s="1"/>
  <c r="AO66" i="13" a="1"/>
  <c r="AO66" i="13" s="1"/>
  <c r="AP66" i="13" a="1"/>
  <c r="AP66" i="13" s="1"/>
  <c r="AQ66" i="13" a="1"/>
  <c r="AQ66" i="13" s="1"/>
  <c r="AV66" i="13"/>
  <c r="AW66" i="13" s="1"/>
  <c r="BB66" i="13"/>
  <c r="BC66" i="13" s="1"/>
  <c r="BE66" i="13"/>
  <c r="BI66" i="13"/>
  <c r="AE67" i="13" a="1"/>
  <c r="AE67" i="13" s="1"/>
  <c r="AF67" i="13" a="1"/>
  <c r="AF67" i="13" s="1"/>
  <c r="AG67" i="13" a="1"/>
  <c r="AG67" i="13" s="1"/>
  <c r="AH67" i="13" a="1"/>
  <c r="AH67" i="13" s="1"/>
  <c r="AI67" i="13" a="1"/>
  <c r="AI67" i="13" s="1"/>
  <c r="AJ67" i="13" a="1"/>
  <c r="AJ67" i="13" s="1"/>
  <c r="AK67" i="13" a="1"/>
  <c r="AK67" i="13" s="1"/>
  <c r="AL67" i="13" a="1"/>
  <c r="AL67" i="13" s="1"/>
  <c r="AM67" i="13" a="1"/>
  <c r="AM67" i="13" s="1"/>
  <c r="AN67" i="13" a="1"/>
  <c r="AN67" i="13" s="1"/>
  <c r="AO67" i="13" a="1"/>
  <c r="AO67" i="13" s="1"/>
  <c r="AP67" i="13" a="1"/>
  <c r="AP67" i="13" s="1"/>
  <c r="AQ67" i="13" a="1"/>
  <c r="AQ67" i="13" s="1"/>
  <c r="AV67" i="13"/>
  <c r="AW67" i="13" s="1"/>
  <c r="BB67" i="13"/>
  <c r="BC67" i="13" s="1"/>
  <c r="BE67" i="13"/>
  <c r="BI67" i="13"/>
  <c r="AE68" i="13" a="1"/>
  <c r="AE68" i="13" s="1"/>
  <c r="AF68" i="13" a="1"/>
  <c r="AF68" i="13" s="1"/>
  <c r="AG68" i="13" a="1"/>
  <c r="AG68" i="13" s="1"/>
  <c r="AH68" i="13" a="1"/>
  <c r="AH68" i="13" s="1"/>
  <c r="AI68" i="13" a="1"/>
  <c r="AI68" i="13" s="1"/>
  <c r="AJ68" i="13" a="1"/>
  <c r="AJ68" i="13" s="1"/>
  <c r="AK68" i="13" a="1"/>
  <c r="AK68" i="13" s="1"/>
  <c r="AL68" i="13" a="1"/>
  <c r="AL68" i="13" s="1"/>
  <c r="AM68" i="13" a="1"/>
  <c r="AM68" i="13" s="1"/>
  <c r="AN68" i="13" a="1"/>
  <c r="AN68" i="13" s="1"/>
  <c r="AO68" i="13" a="1"/>
  <c r="AO68" i="13" s="1"/>
  <c r="AP68" i="13" a="1"/>
  <c r="AP68" i="13" s="1"/>
  <c r="AQ68" i="13" a="1"/>
  <c r="AQ68" i="13" s="1"/>
  <c r="AV68" i="13"/>
  <c r="AW68" i="13" s="1"/>
  <c r="BB68" i="13"/>
  <c r="BC68" i="13" s="1"/>
  <c r="BE68" i="13"/>
  <c r="BI68" i="13"/>
  <c r="AE69" i="13" a="1"/>
  <c r="AE69" i="13" s="1"/>
  <c r="AF69" i="13" a="1"/>
  <c r="AF69" i="13" s="1"/>
  <c r="AG69" i="13" a="1"/>
  <c r="AG69" i="13" s="1"/>
  <c r="AH69" i="13" a="1"/>
  <c r="AH69" i="13" s="1"/>
  <c r="AI69" i="13" a="1"/>
  <c r="AI69" i="13" s="1"/>
  <c r="AJ69" i="13" a="1"/>
  <c r="AJ69" i="13" s="1"/>
  <c r="AK69" i="13" a="1"/>
  <c r="AK69" i="13" s="1"/>
  <c r="AL69" i="13" a="1"/>
  <c r="AL69" i="13" s="1"/>
  <c r="AM69" i="13" a="1"/>
  <c r="AM69" i="13" s="1"/>
  <c r="AN69" i="13" a="1"/>
  <c r="AN69" i="13" s="1"/>
  <c r="AO69" i="13" a="1"/>
  <c r="AO69" i="13" s="1"/>
  <c r="AP69" i="13" a="1"/>
  <c r="AP69" i="13" s="1"/>
  <c r="AQ69" i="13" a="1"/>
  <c r="AQ69" i="13" s="1"/>
  <c r="AV69" i="13"/>
  <c r="AW69" i="13" s="1"/>
  <c r="BB69" i="13"/>
  <c r="BC69" i="13" s="1"/>
  <c r="BE69" i="13"/>
  <c r="BI69" i="13"/>
  <c r="AE70" i="13" a="1"/>
  <c r="AE70" i="13" s="1"/>
  <c r="AF70" i="13" a="1"/>
  <c r="AF70" i="13" s="1"/>
  <c r="AG70" i="13" a="1"/>
  <c r="AG70" i="13" s="1"/>
  <c r="AH70" i="13" a="1"/>
  <c r="AH70" i="13" s="1"/>
  <c r="AI70" i="13" a="1"/>
  <c r="AI70" i="13" s="1"/>
  <c r="AJ70" i="13" a="1"/>
  <c r="AJ70" i="13" s="1"/>
  <c r="AK70" i="13" a="1"/>
  <c r="AK70" i="13" s="1"/>
  <c r="AL70" i="13" a="1"/>
  <c r="AL70" i="13" s="1"/>
  <c r="AM70" i="13" a="1"/>
  <c r="AM70" i="13" s="1"/>
  <c r="AN70" i="13" a="1"/>
  <c r="AN70" i="13" s="1"/>
  <c r="AO70" i="13" a="1"/>
  <c r="AO70" i="13" s="1"/>
  <c r="AP70" i="13" a="1"/>
  <c r="AP70" i="13" s="1"/>
  <c r="AQ70" i="13" a="1"/>
  <c r="AQ70" i="13" s="1"/>
  <c r="AV70" i="13"/>
  <c r="AW70" i="13" s="1"/>
  <c r="BB70" i="13"/>
  <c r="BC70" i="13" s="1"/>
  <c r="BE70" i="13"/>
  <c r="BI70" i="13"/>
  <c r="AE71" i="13" a="1"/>
  <c r="AE71" i="13" s="1"/>
  <c r="AF71" i="13" a="1"/>
  <c r="AF71" i="13" s="1"/>
  <c r="AG71" i="13" a="1"/>
  <c r="AG71" i="13" s="1"/>
  <c r="AH71" i="13" a="1"/>
  <c r="AH71" i="13" s="1"/>
  <c r="AI71" i="13" a="1"/>
  <c r="AI71" i="13" s="1"/>
  <c r="AJ71" i="13" a="1"/>
  <c r="AJ71" i="13" s="1"/>
  <c r="AK71" i="13" a="1"/>
  <c r="AK71" i="13" s="1"/>
  <c r="AL71" i="13" a="1"/>
  <c r="AL71" i="13" s="1"/>
  <c r="AM71" i="13" a="1"/>
  <c r="AM71" i="13" s="1"/>
  <c r="AN71" i="13" a="1"/>
  <c r="AN71" i="13" s="1"/>
  <c r="AO71" i="13" a="1"/>
  <c r="AO71" i="13" s="1"/>
  <c r="AP71" i="13" a="1"/>
  <c r="AP71" i="13" s="1"/>
  <c r="AQ71" i="13" a="1"/>
  <c r="AQ71" i="13" s="1"/>
  <c r="AV71" i="13"/>
  <c r="AW71" i="13" s="1"/>
  <c r="BB71" i="13"/>
  <c r="BC71" i="13" s="1"/>
  <c r="BE71" i="13"/>
  <c r="BI71" i="13"/>
  <c r="AE72" i="13" a="1"/>
  <c r="AE72" i="13" s="1"/>
  <c r="AF72" i="13" a="1"/>
  <c r="AF72" i="13" s="1"/>
  <c r="AG72" i="13" a="1"/>
  <c r="AG72" i="13" s="1"/>
  <c r="AH72" i="13" a="1"/>
  <c r="AH72" i="13" s="1"/>
  <c r="AI72" i="13" a="1"/>
  <c r="AI72" i="13" s="1"/>
  <c r="AJ72" i="13" a="1"/>
  <c r="AJ72" i="13" s="1"/>
  <c r="AK72" i="13" a="1"/>
  <c r="AK72" i="13" s="1"/>
  <c r="AL72" i="13" a="1"/>
  <c r="AL72" i="13" s="1"/>
  <c r="AM72" i="13" a="1"/>
  <c r="AM72" i="13" s="1"/>
  <c r="AN72" i="13" a="1"/>
  <c r="AN72" i="13" s="1"/>
  <c r="AO72" i="13" a="1"/>
  <c r="AO72" i="13" s="1"/>
  <c r="AP72" i="13" a="1"/>
  <c r="AP72" i="13" s="1"/>
  <c r="AQ72" i="13" a="1"/>
  <c r="AQ72" i="13" s="1"/>
  <c r="AV72" i="13"/>
  <c r="AW72" i="13" s="1"/>
  <c r="BB72" i="13"/>
  <c r="BC72" i="13" s="1"/>
  <c r="BE72" i="13"/>
  <c r="BI72" i="13"/>
  <c r="AE73" i="13" a="1"/>
  <c r="AE73" i="13" s="1"/>
  <c r="AF73" i="13" a="1"/>
  <c r="AF73" i="13" s="1"/>
  <c r="AG73" i="13" a="1"/>
  <c r="AG73" i="13" s="1"/>
  <c r="AH73" i="13" a="1"/>
  <c r="AH73" i="13" s="1"/>
  <c r="AI73" i="13" a="1"/>
  <c r="AI73" i="13" s="1"/>
  <c r="AJ73" i="13" a="1"/>
  <c r="AJ73" i="13" s="1"/>
  <c r="AK73" i="13" a="1"/>
  <c r="AK73" i="13" s="1"/>
  <c r="AL73" i="13" a="1"/>
  <c r="AL73" i="13" s="1"/>
  <c r="AM73" i="13" a="1"/>
  <c r="AM73" i="13" s="1"/>
  <c r="AN73" i="13" a="1"/>
  <c r="AN73" i="13" s="1"/>
  <c r="AO73" i="13" a="1"/>
  <c r="AO73" i="13" s="1"/>
  <c r="AP73" i="13" a="1"/>
  <c r="AP73" i="13" s="1"/>
  <c r="AQ73" i="13" a="1"/>
  <c r="AQ73" i="13" s="1"/>
  <c r="AV73" i="13"/>
  <c r="AW73" i="13" s="1"/>
  <c r="BB73" i="13"/>
  <c r="BC73" i="13" s="1"/>
  <c r="BE73" i="13"/>
  <c r="BI73" i="13"/>
  <c r="AE74" i="13" a="1"/>
  <c r="AE74" i="13" s="1"/>
  <c r="AF74" i="13" a="1"/>
  <c r="AF74" i="13" s="1"/>
  <c r="AG74" i="13" a="1"/>
  <c r="AG74" i="13" s="1"/>
  <c r="AH74" i="13" a="1"/>
  <c r="AH74" i="13" s="1"/>
  <c r="AI74" i="13" a="1"/>
  <c r="AI74" i="13" s="1"/>
  <c r="AJ74" i="13" a="1"/>
  <c r="AJ74" i="13" s="1"/>
  <c r="AK74" i="13" a="1"/>
  <c r="AK74" i="13" s="1"/>
  <c r="AL74" i="13" a="1"/>
  <c r="AL74" i="13" s="1"/>
  <c r="AM74" i="13" a="1"/>
  <c r="AM74" i="13" s="1"/>
  <c r="AN74" i="13" a="1"/>
  <c r="AN74" i="13" s="1"/>
  <c r="AO74" i="13" a="1"/>
  <c r="AO74" i="13" s="1"/>
  <c r="AP74" i="13" a="1"/>
  <c r="AP74" i="13" s="1"/>
  <c r="AQ74" i="13" a="1"/>
  <c r="AQ74" i="13" s="1"/>
  <c r="AV74" i="13"/>
  <c r="AW74" i="13" s="1"/>
  <c r="BB74" i="13"/>
  <c r="BC74" i="13" s="1"/>
  <c r="BE74" i="13"/>
  <c r="BI74" i="13"/>
  <c r="AE75" i="13" a="1"/>
  <c r="AE75" i="13" s="1"/>
  <c r="AF75" i="13" a="1"/>
  <c r="AF75" i="13" s="1"/>
  <c r="AG75" i="13" a="1"/>
  <c r="AG75" i="13" s="1"/>
  <c r="AH75" i="13" a="1"/>
  <c r="AH75" i="13" s="1"/>
  <c r="AI75" i="13" a="1"/>
  <c r="AI75" i="13" s="1"/>
  <c r="AJ75" i="13" a="1"/>
  <c r="AJ75" i="13" s="1"/>
  <c r="AK75" i="13" a="1"/>
  <c r="AK75" i="13" s="1"/>
  <c r="AL75" i="13" a="1"/>
  <c r="AL75" i="13" s="1"/>
  <c r="AM75" i="13" a="1"/>
  <c r="AM75" i="13" s="1"/>
  <c r="AN75" i="13" a="1"/>
  <c r="AN75" i="13" s="1"/>
  <c r="AO75" i="13" a="1"/>
  <c r="AO75" i="13" s="1"/>
  <c r="AP75" i="13" a="1"/>
  <c r="AP75" i="13" s="1"/>
  <c r="AQ75" i="13" a="1"/>
  <c r="AQ75" i="13" s="1"/>
  <c r="AV75" i="13"/>
  <c r="AW75" i="13" s="1"/>
  <c r="BB75" i="13"/>
  <c r="BC75" i="13" s="1"/>
  <c r="BE75" i="13"/>
  <c r="BI75" i="13"/>
  <c r="AE76" i="13" a="1"/>
  <c r="AE76" i="13" s="1"/>
  <c r="AF76" i="13" a="1"/>
  <c r="AF76" i="13" s="1"/>
  <c r="AG76" i="13" a="1"/>
  <c r="AG76" i="13" s="1"/>
  <c r="AH76" i="13" a="1"/>
  <c r="AH76" i="13" s="1"/>
  <c r="AI76" i="13" a="1"/>
  <c r="AI76" i="13" s="1"/>
  <c r="AJ76" i="13" a="1"/>
  <c r="AJ76" i="13" s="1"/>
  <c r="AK76" i="13" a="1"/>
  <c r="AK76" i="13" s="1"/>
  <c r="AL76" i="13" a="1"/>
  <c r="AL76" i="13" s="1"/>
  <c r="AM76" i="13" a="1"/>
  <c r="AM76" i="13" s="1"/>
  <c r="AN76" i="13" a="1"/>
  <c r="AN76" i="13" s="1"/>
  <c r="AO76" i="13" a="1"/>
  <c r="AO76" i="13" s="1"/>
  <c r="AP76" i="13" a="1"/>
  <c r="AP76" i="13" s="1"/>
  <c r="AQ76" i="13" a="1"/>
  <c r="AQ76" i="13" s="1"/>
  <c r="AV76" i="13"/>
  <c r="AW76" i="13" s="1"/>
  <c r="BB76" i="13"/>
  <c r="BC76" i="13" s="1"/>
  <c r="BE76" i="13"/>
  <c r="BI76" i="13"/>
  <c r="AE77" i="13" a="1"/>
  <c r="AE77" i="13" s="1"/>
  <c r="AF77" i="13" a="1"/>
  <c r="AF77" i="13" s="1"/>
  <c r="AG77" i="13" a="1"/>
  <c r="AG77" i="13" s="1"/>
  <c r="AH77" i="13" a="1"/>
  <c r="AH77" i="13" s="1"/>
  <c r="AI77" i="13" a="1"/>
  <c r="AI77" i="13" s="1"/>
  <c r="AJ77" i="13" a="1"/>
  <c r="AJ77" i="13" s="1"/>
  <c r="AK77" i="13" a="1"/>
  <c r="AK77" i="13" s="1"/>
  <c r="AL77" i="13" a="1"/>
  <c r="AL77" i="13" s="1"/>
  <c r="AM77" i="13" a="1"/>
  <c r="AM77" i="13" s="1"/>
  <c r="AN77" i="13" a="1"/>
  <c r="AN77" i="13" s="1"/>
  <c r="AO77" i="13" a="1"/>
  <c r="AO77" i="13" s="1"/>
  <c r="AP77" i="13" a="1"/>
  <c r="AP77" i="13" s="1"/>
  <c r="AQ77" i="13" a="1"/>
  <c r="AQ77" i="13" s="1"/>
  <c r="AV77" i="13"/>
  <c r="AW77" i="13" s="1"/>
  <c r="BB77" i="13"/>
  <c r="BC77" i="13" s="1"/>
  <c r="BE77" i="13"/>
  <c r="BI77" i="13"/>
  <c r="AE78" i="13" a="1"/>
  <c r="AE78" i="13" s="1"/>
  <c r="AF78" i="13" a="1"/>
  <c r="AF78" i="13" s="1"/>
  <c r="AG78" i="13" a="1"/>
  <c r="AG78" i="13" s="1"/>
  <c r="AH78" i="13" a="1"/>
  <c r="AH78" i="13" s="1"/>
  <c r="AI78" i="13" a="1"/>
  <c r="AI78" i="13" s="1"/>
  <c r="AJ78" i="13" a="1"/>
  <c r="AJ78" i="13" s="1"/>
  <c r="AK78" i="13" a="1"/>
  <c r="AK78" i="13" s="1"/>
  <c r="AL78" i="13" a="1"/>
  <c r="AL78" i="13" s="1"/>
  <c r="AM78" i="13" a="1"/>
  <c r="AM78" i="13" s="1"/>
  <c r="AN78" i="13" a="1"/>
  <c r="AN78" i="13" s="1"/>
  <c r="AO78" i="13" a="1"/>
  <c r="AO78" i="13" s="1"/>
  <c r="AP78" i="13" a="1"/>
  <c r="AP78" i="13" s="1"/>
  <c r="AQ78" i="13" a="1"/>
  <c r="AQ78" i="13" s="1"/>
  <c r="AV78" i="13"/>
  <c r="AW78" i="13" s="1"/>
  <c r="BB78" i="13"/>
  <c r="BC78" i="13" s="1"/>
  <c r="BE78" i="13"/>
  <c r="BI78" i="13"/>
  <c r="AE79" i="13" a="1"/>
  <c r="AE79" i="13" s="1"/>
  <c r="AF79" i="13" a="1"/>
  <c r="AF79" i="13" s="1"/>
  <c r="AG79" i="13" a="1"/>
  <c r="AG79" i="13" s="1"/>
  <c r="AH79" i="13" a="1"/>
  <c r="AH79" i="13" s="1"/>
  <c r="AI79" i="13" a="1"/>
  <c r="AI79" i="13" s="1"/>
  <c r="AJ79" i="13" a="1"/>
  <c r="AJ79" i="13" s="1"/>
  <c r="AK79" i="13" a="1"/>
  <c r="AK79" i="13" s="1"/>
  <c r="AL79" i="13" a="1"/>
  <c r="AL79" i="13" s="1"/>
  <c r="AM79" i="13" a="1"/>
  <c r="AM79" i="13" s="1"/>
  <c r="AN79" i="13" a="1"/>
  <c r="AN79" i="13" s="1"/>
  <c r="AO79" i="13" a="1"/>
  <c r="AO79" i="13" s="1"/>
  <c r="AP79" i="13" a="1"/>
  <c r="AP79" i="13" s="1"/>
  <c r="AQ79" i="13" a="1"/>
  <c r="AQ79" i="13" s="1"/>
  <c r="AV79" i="13"/>
  <c r="AW79" i="13" s="1"/>
  <c r="BB79" i="13"/>
  <c r="BC79" i="13" s="1"/>
  <c r="BE79" i="13"/>
  <c r="BI79" i="13"/>
  <c r="AE80" i="13" a="1"/>
  <c r="AE80" i="13" s="1"/>
  <c r="AF80" i="13" a="1"/>
  <c r="AF80" i="13" s="1"/>
  <c r="AG80" i="13" a="1"/>
  <c r="AG80" i="13" s="1"/>
  <c r="AH80" i="13" a="1"/>
  <c r="AH80" i="13" s="1"/>
  <c r="AI80" i="13" a="1"/>
  <c r="AI80" i="13" s="1"/>
  <c r="AJ80" i="13" a="1"/>
  <c r="AJ80" i="13" s="1"/>
  <c r="AK80" i="13" a="1"/>
  <c r="AK80" i="13" s="1"/>
  <c r="AL80" i="13" a="1"/>
  <c r="AL80" i="13" s="1"/>
  <c r="AM80" i="13" a="1"/>
  <c r="AM80" i="13" s="1"/>
  <c r="AN80" i="13" a="1"/>
  <c r="AN80" i="13" s="1"/>
  <c r="AO80" i="13" a="1"/>
  <c r="AO80" i="13" s="1"/>
  <c r="AP80" i="13" a="1"/>
  <c r="AP80" i="13" s="1"/>
  <c r="AQ80" i="13" a="1"/>
  <c r="AQ80" i="13" s="1"/>
  <c r="AV80" i="13"/>
  <c r="AW80" i="13" s="1"/>
  <c r="BB80" i="13"/>
  <c r="BC80" i="13" s="1"/>
  <c r="BE80" i="13"/>
  <c r="BI80" i="13"/>
  <c r="AE81" i="13" a="1"/>
  <c r="AE81" i="13" s="1"/>
  <c r="AF81" i="13" a="1"/>
  <c r="AF81" i="13" s="1"/>
  <c r="AG81" i="13" a="1"/>
  <c r="AG81" i="13" s="1"/>
  <c r="AH81" i="13" a="1"/>
  <c r="AH81" i="13" s="1"/>
  <c r="AI81" i="13" a="1"/>
  <c r="AI81" i="13" s="1"/>
  <c r="AJ81" i="13" a="1"/>
  <c r="AJ81" i="13" s="1"/>
  <c r="AK81" i="13" a="1"/>
  <c r="AK81" i="13" s="1"/>
  <c r="AL81" i="13" a="1"/>
  <c r="AL81" i="13" s="1"/>
  <c r="AM81" i="13" a="1"/>
  <c r="AM81" i="13" s="1"/>
  <c r="AN81" i="13" a="1"/>
  <c r="AN81" i="13" s="1"/>
  <c r="AO81" i="13" a="1"/>
  <c r="AO81" i="13" s="1"/>
  <c r="AP81" i="13" a="1"/>
  <c r="AP81" i="13" s="1"/>
  <c r="AQ81" i="13" a="1"/>
  <c r="AQ81" i="13" s="1"/>
  <c r="AV81" i="13"/>
  <c r="AW81" i="13" s="1"/>
  <c r="BB81" i="13"/>
  <c r="BC81" i="13" s="1"/>
  <c r="BE81" i="13"/>
  <c r="BI81" i="13"/>
  <c r="AE82" i="13" a="1"/>
  <c r="AE82" i="13" s="1"/>
  <c r="AF82" i="13" a="1"/>
  <c r="AF82" i="13" s="1"/>
  <c r="AG82" i="13" a="1"/>
  <c r="AG82" i="13" s="1"/>
  <c r="AH82" i="13" a="1"/>
  <c r="AH82" i="13" s="1"/>
  <c r="AI82" i="13" a="1"/>
  <c r="AI82" i="13" s="1"/>
  <c r="AJ82" i="13" a="1"/>
  <c r="AJ82" i="13" s="1"/>
  <c r="AK82" i="13" a="1"/>
  <c r="AK82" i="13" s="1"/>
  <c r="AL82" i="13" a="1"/>
  <c r="AL82" i="13" s="1"/>
  <c r="AM82" i="13" a="1"/>
  <c r="AM82" i="13" s="1"/>
  <c r="AN82" i="13" a="1"/>
  <c r="AN82" i="13" s="1"/>
  <c r="AO82" i="13" a="1"/>
  <c r="AO82" i="13" s="1"/>
  <c r="AP82" i="13" a="1"/>
  <c r="AP82" i="13" s="1"/>
  <c r="AQ82" i="13" a="1"/>
  <c r="AQ82" i="13" s="1"/>
  <c r="AV82" i="13"/>
  <c r="AW82" i="13" s="1"/>
  <c r="BB82" i="13"/>
  <c r="BC82" i="13" s="1"/>
  <c r="BE82" i="13"/>
  <c r="BI82" i="13"/>
  <c r="AE83" i="13" a="1"/>
  <c r="AE83" i="13" s="1"/>
  <c r="AF83" i="13" a="1"/>
  <c r="AF83" i="13" s="1"/>
  <c r="AG83" i="13" a="1"/>
  <c r="AG83" i="13" s="1"/>
  <c r="AH83" i="13" a="1"/>
  <c r="AH83" i="13" s="1"/>
  <c r="AI83" i="13" a="1"/>
  <c r="AI83" i="13" s="1"/>
  <c r="AJ83" i="13" a="1"/>
  <c r="AJ83" i="13" s="1"/>
  <c r="AK83" i="13" a="1"/>
  <c r="AK83" i="13" s="1"/>
  <c r="AL83" i="13" a="1"/>
  <c r="AL83" i="13" s="1"/>
  <c r="AM83" i="13" a="1"/>
  <c r="AM83" i="13" s="1"/>
  <c r="AN83" i="13" a="1"/>
  <c r="AN83" i="13" s="1"/>
  <c r="AO83" i="13" a="1"/>
  <c r="AO83" i="13" s="1"/>
  <c r="AP83" i="13" a="1"/>
  <c r="AP83" i="13" s="1"/>
  <c r="AQ83" i="13" a="1"/>
  <c r="AQ83" i="13" s="1"/>
  <c r="AV83" i="13"/>
  <c r="AW83" i="13" s="1"/>
  <c r="BB83" i="13"/>
  <c r="BC83" i="13" s="1"/>
  <c r="BE83" i="13"/>
  <c r="BI83" i="13"/>
  <c r="AE84" i="13" a="1"/>
  <c r="AE84" i="13" s="1"/>
  <c r="AF84" i="13" a="1"/>
  <c r="AF84" i="13" s="1"/>
  <c r="AG84" i="13" a="1"/>
  <c r="AG84" i="13" s="1"/>
  <c r="AH84" i="13" a="1"/>
  <c r="AH84" i="13" s="1"/>
  <c r="AI84" i="13" a="1"/>
  <c r="AI84" i="13" s="1"/>
  <c r="AJ84" i="13" a="1"/>
  <c r="AJ84" i="13" s="1"/>
  <c r="AK84" i="13" a="1"/>
  <c r="AK84" i="13" s="1"/>
  <c r="AL84" i="13" a="1"/>
  <c r="AL84" i="13" s="1"/>
  <c r="AM84" i="13" a="1"/>
  <c r="AM84" i="13" s="1"/>
  <c r="AN84" i="13" a="1"/>
  <c r="AN84" i="13" s="1"/>
  <c r="AO84" i="13" a="1"/>
  <c r="AO84" i="13" s="1"/>
  <c r="AP84" i="13" a="1"/>
  <c r="AP84" i="13" s="1"/>
  <c r="AQ84" i="13" a="1"/>
  <c r="AQ84" i="13" s="1"/>
  <c r="AV84" i="13"/>
  <c r="AW84" i="13" s="1"/>
  <c r="BB84" i="13"/>
  <c r="BC84" i="13" s="1"/>
  <c r="BE84" i="13"/>
  <c r="BI84" i="13"/>
  <c r="AE85" i="13" a="1"/>
  <c r="AE85" i="13" s="1"/>
  <c r="AF85" i="13" a="1"/>
  <c r="AF85" i="13" s="1"/>
  <c r="AG85" i="13" a="1"/>
  <c r="AG85" i="13" s="1"/>
  <c r="AH85" i="13" a="1"/>
  <c r="AH85" i="13" s="1"/>
  <c r="AI85" i="13" a="1"/>
  <c r="AI85" i="13" s="1"/>
  <c r="AJ85" i="13" a="1"/>
  <c r="AJ85" i="13" s="1"/>
  <c r="AK85" i="13" a="1"/>
  <c r="AK85" i="13" s="1"/>
  <c r="AL85" i="13" a="1"/>
  <c r="AL85" i="13" s="1"/>
  <c r="AM85" i="13" a="1"/>
  <c r="AM85" i="13" s="1"/>
  <c r="AN85" i="13" a="1"/>
  <c r="AN85" i="13" s="1"/>
  <c r="AO85" i="13" a="1"/>
  <c r="AO85" i="13" s="1"/>
  <c r="AP85" i="13" a="1"/>
  <c r="AP85" i="13" s="1"/>
  <c r="AQ85" i="13" a="1"/>
  <c r="AQ85" i="13" s="1"/>
  <c r="AV85" i="13"/>
  <c r="AW85" i="13" s="1"/>
  <c r="BB85" i="13"/>
  <c r="BC85" i="13" s="1"/>
  <c r="BE85" i="13"/>
  <c r="BI85" i="13"/>
  <c r="AE86" i="13" a="1"/>
  <c r="AE86" i="13" s="1"/>
  <c r="AF86" i="13" a="1"/>
  <c r="AF86" i="13" s="1"/>
  <c r="AG86" i="13" a="1"/>
  <c r="AG86" i="13" s="1"/>
  <c r="AH86" i="13" a="1"/>
  <c r="AH86" i="13" s="1"/>
  <c r="AI86" i="13" a="1"/>
  <c r="AI86" i="13" s="1"/>
  <c r="AJ86" i="13" a="1"/>
  <c r="AJ86" i="13" s="1"/>
  <c r="AK86" i="13" a="1"/>
  <c r="AK86" i="13" s="1"/>
  <c r="AL86" i="13" a="1"/>
  <c r="AL86" i="13" s="1"/>
  <c r="AM86" i="13" a="1"/>
  <c r="AM86" i="13" s="1"/>
  <c r="AN86" i="13" a="1"/>
  <c r="AN86" i="13" s="1"/>
  <c r="AO86" i="13" a="1"/>
  <c r="AO86" i="13" s="1"/>
  <c r="AP86" i="13" a="1"/>
  <c r="AP86" i="13" s="1"/>
  <c r="AQ86" i="13" a="1"/>
  <c r="AQ86" i="13" s="1"/>
  <c r="AV86" i="13"/>
  <c r="AW86" i="13" s="1"/>
  <c r="BB86" i="13"/>
  <c r="BC86" i="13" s="1"/>
  <c r="BE86" i="13"/>
  <c r="BI86" i="13"/>
  <c r="AE87" i="13" a="1"/>
  <c r="AE87" i="13" s="1"/>
  <c r="AF87" i="13" a="1"/>
  <c r="AF87" i="13" s="1"/>
  <c r="AG87" i="13" a="1"/>
  <c r="AG87" i="13" s="1"/>
  <c r="AH87" i="13" a="1"/>
  <c r="AH87" i="13" s="1"/>
  <c r="AI87" i="13" a="1"/>
  <c r="AI87" i="13" s="1"/>
  <c r="AJ87" i="13" a="1"/>
  <c r="AJ87" i="13" s="1"/>
  <c r="AK87" i="13" a="1"/>
  <c r="AK87" i="13" s="1"/>
  <c r="AL87" i="13" a="1"/>
  <c r="AL87" i="13" s="1"/>
  <c r="AM87" i="13" a="1"/>
  <c r="AM87" i="13" s="1"/>
  <c r="AN87" i="13" a="1"/>
  <c r="AN87" i="13" s="1"/>
  <c r="AO87" i="13" a="1"/>
  <c r="AO87" i="13" s="1"/>
  <c r="AP87" i="13" a="1"/>
  <c r="AP87" i="13" s="1"/>
  <c r="AQ87" i="13" a="1"/>
  <c r="AQ87" i="13" s="1"/>
  <c r="AV87" i="13"/>
  <c r="AW87" i="13" s="1"/>
  <c r="BB87" i="13"/>
  <c r="BC87" i="13" s="1"/>
  <c r="BE87" i="13"/>
  <c r="BI87" i="13"/>
  <c r="AE88" i="13" a="1"/>
  <c r="AE88" i="13" s="1"/>
  <c r="AF88" i="13" a="1"/>
  <c r="AF88" i="13" s="1"/>
  <c r="AG88" i="13" a="1"/>
  <c r="AG88" i="13" s="1"/>
  <c r="AH88" i="13" a="1"/>
  <c r="AH88" i="13" s="1"/>
  <c r="AI88" i="13" a="1"/>
  <c r="AI88" i="13" s="1"/>
  <c r="AJ88" i="13" a="1"/>
  <c r="AJ88" i="13" s="1"/>
  <c r="AK88" i="13" a="1"/>
  <c r="AK88" i="13" s="1"/>
  <c r="AL88" i="13" a="1"/>
  <c r="AL88" i="13" s="1"/>
  <c r="AM88" i="13" a="1"/>
  <c r="AM88" i="13" s="1"/>
  <c r="AN88" i="13" a="1"/>
  <c r="AN88" i="13" s="1"/>
  <c r="AO88" i="13" a="1"/>
  <c r="AO88" i="13" s="1"/>
  <c r="AP88" i="13" a="1"/>
  <c r="AP88" i="13" s="1"/>
  <c r="AQ88" i="13" a="1"/>
  <c r="AQ88" i="13" s="1"/>
  <c r="AV88" i="13"/>
  <c r="AW88" i="13" s="1"/>
  <c r="BB88" i="13"/>
  <c r="BC88" i="13" s="1"/>
  <c r="BE88" i="13"/>
  <c r="BI88" i="13"/>
  <c r="AE89" i="13" a="1"/>
  <c r="AE89" i="13" s="1"/>
  <c r="AF89" i="13" a="1"/>
  <c r="AF89" i="13" s="1"/>
  <c r="AG89" i="13" a="1"/>
  <c r="AG89" i="13" s="1"/>
  <c r="AH89" i="13" a="1"/>
  <c r="AH89" i="13" s="1"/>
  <c r="AI89" i="13" a="1"/>
  <c r="AI89" i="13" s="1"/>
  <c r="AJ89" i="13" a="1"/>
  <c r="AJ89" i="13" s="1"/>
  <c r="AK89" i="13" a="1"/>
  <c r="AK89" i="13" s="1"/>
  <c r="AL89" i="13" a="1"/>
  <c r="AL89" i="13" s="1"/>
  <c r="AM89" i="13" a="1"/>
  <c r="AM89" i="13" s="1"/>
  <c r="AN89" i="13" a="1"/>
  <c r="AN89" i="13" s="1"/>
  <c r="AO89" i="13" a="1"/>
  <c r="AO89" i="13" s="1"/>
  <c r="AP89" i="13" a="1"/>
  <c r="AP89" i="13" s="1"/>
  <c r="AQ89" i="13" a="1"/>
  <c r="AQ89" i="13" s="1"/>
  <c r="AV89" i="13"/>
  <c r="AW89" i="13" s="1"/>
  <c r="BB89" i="13"/>
  <c r="BC89" i="13" s="1"/>
  <c r="BE89" i="13"/>
  <c r="BI89" i="13"/>
  <c r="AE90" i="13" a="1"/>
  <c r="AE90" i="13" s="1"/>
  <c r="AF90" i="13" a="1"/>
  <c r="AF90" i="13" s="1"/>
  <c r="AG90" i="13" a="1"/>
  <c r="AG90" i="13" s="1"/>
  <c r="AH90" i="13" a="1"/>
  <c r="AH90" i="13" s="1"/>
  <c r="AI90" i="13" a="1"/>
  <c r="AI90" i="13" s="1"/>
  <c r="AJ90" i="13" a="1"/>
  <c r="AJ90" i="13" s="1"/>
  <c r="AK90" i="13" a="1"/>
  <c r="AK90" i="13" s="1"/>
  <c r="AL90" i="13" a="1"/>
  <c r="AL90" i="13" s="1"/>
  <c r="AM90" i="13" a="1"/>
  <c r="AM90" i="13" s="1"/>
  <c r="AN90" i="13" a="1"/>
  <c r="AN90" i="13" s="1"/>
  <c r="AO90" i="13" a="1"/>
  <c r="AO90" i="13" s="1"/>
  <c r="AP90" i="13" a="1"/>
  <c r="AP90" i="13" s="1"/>
  <c r="AQ90" i="13" a="1"/>
  <c r="AQ90" i="13" s="1"/>
  <c r="AV90" i="13"/>
  <c r="AW90" i="13" s="1"/>
  <c r="BB90" i="13"/>
  <c r="BC90" i="13" s="1"/>
  <c r="BE90" i="13"/>
  <c r="BI90" i="13"/>
  <c r="AE91" i="13" a="1"/>
  <c r="AE91" i="13" s="1"/>
  <c r="AF91" i="13" a="1"/>
  <c r="AF91" i="13" s="1"/>
  <c r="AG91" i="13" a="1"/>
  <c r="AG91" i="13" s="1"/>
  <c r="AH91" i="13" a="1"/>
  <c r="AH91" i="13" s="1"/>
  <c r="AI91" i="13" a="1"/>
  <c r="AI91" i="13" s="1"/>
  <c r="AJ91" i="13" a="1"/>
  <c r="AJ91" i="13" s="1"/>
  <c r="AK91" i="13" a="1"/>
  <c r="AK91" i="13" s="1"/>
  <c r="AL91" i="13" a="1"/>
  <c r="AL91" i="13" s="1"/>
  <c r="AM91" i="13" a="1"/>
  <c r="AM91" i="13" s="1"/>
  <c r="AN91" i="13" a="1"/>
  <c r="AN91" i="13" s="1"/>
  <c r="AO91" i="13" a="1"/>
  <c r="AO91" i="13" s="1"/>
  <c r="AP91" i="13" a="1"/>
  <c r="AP91" i="13" s="1"/>
  <c r="AQ91" i="13" a="1"/>
  <c r="AQ91" i="13" s="1"/>
  <c r="AV91" i="13"/>
  <c r="AW91" i="13" s="1"/>
  <c r="BB91" i="13"/>
  <c r="BC91" i="13" s="1"/>
  <c r="BE91" i="13"/>
  <c r="BI91" i="13"/>
  <c r="AE92" i="13" a="1"/>
  <c r="AE92" i="13" s="1"/>
  <c r="AF92" i="13" a="1"/>
  <c r="AF92" i="13" s="1"/>
  <c r="AG92" i="13" a="1"/>
  <c r="AG92" i="13" s="1"/>
  <c r="AH92" i="13" a="1"/>
  <c r="AH92" i="13" s="1"/>
  <c r="AI92" i="13" a="1"/>
  <c r="AI92" i="13" s="1"/>
  <c r="AJ92" i="13" a="1"/>
  <c r="AJ92" i="13" s="1"/>
  <c r="AK92" i="13" a="1"/>
  <c r="AK92" i="13" s="1"/>
  <c r="AL92" i="13" a="1"/>
  <c r="AL92" i="13" s="1"/>
  <c r="AM92" i="13" a="1"/>
  <c r="AM92" i="13" s="1"/>
  <c r="AN92" i="13" a="1"/>
  <c r="AN92" i="13" s="1"/>
  <c r="AO92" i="13" a="1"/>
  <c r="AO92" i="13" s="1"/>
  <c r="AP92" i="13" a="1"/>
  <c r="AP92" i="13" s="1"/>
  <c r="AQ92" i="13" a="1"/>
  <c r="AQ92" i="13" s="1"/>
  <c r="AV92" i="13"/>
  <c r="AW92" i="13" s="1"/>
  <c r="BB92" i="13"/>
  <c r="BC92" i="13" s="1"/>
  <c r="BE92" i="13"/>
  <c r="BI92" i="13"/>
  <c r="AE93" i="13" a="1"/>
  <c r="AE93" i="13" s="1"/>
  <c r="AF93" i="13" a="1"/>
  <c r="AF93" i="13" s="1"/>
  <c r="AG93" i="13" a="1"/>
  <c r="AG93" i="13" s="1"/>
  <c r="AH93" i="13" a="1"/>
  <c r="AH93" i="13" s="1"/>
  <c r="AI93" i="13" a="1"/>
  <c r="AI93" i="13" s="1"/>
  <c r="AJ93" i="13" a="1"/>
  <c r="AJ93" i="13" s="1"/>
  <c r="AK93" i="13" a="1"/>
  <c r="AK93" i="13" s="1"/>
  <c r="AL93" i="13" a="1"/>
  <c r="AL93" i="13" s="1"/>
  <c r="AM93" i="13" a="1"/>
  <c r="AM93" i="13" s="1"/>
  <c r="AN93" i="13" a="1"/>
  <c r="AN93" i="13" s="1"/>
  <c r="AO93" i="13" a="1"/>
  <c r="AO93" i="13" s="1"/>
  <c r="AP93" i="13" a="1"/>
  <c r="AP93" i="13" s="1"/>
  <c r="AQ93" i="13" a="1"/>
  <c r="AQ93" i="13" s="1"/>
  <c r="AV93" i="13"/>
  <c r="AW93" i="13" s="1"/>
  <c r="BB93" i="13"/>
  <c r="BC93" i="13" s="1"/>
  <c r="BE93" i="13"/>
  <c r="BI93" i="13"/>
  <c r="AE94" i="13" a="1"/>
  <c r="AE94" i="13" s="1"/>
  <c r="AF94" i="13" a="1"/>
  <c r="AF94" i="13" s="1"/>
  <c r="AG94" i="13" a="1"/>
  <c r="AG94" i="13" s="1"/>
  <c r="AH94" i="13" a="1"/>
  <c r="AH94" i="13" s="1"/>
  <c r="AI94" i="13" a="1"/>
  <c r="AI94" i="13" s="1"/>
  <c r="AJ94" i="13" a="1"/>
  <c r="AJ94" i="13" s="1"/>
  <c r="AK94" i="13" a="1"/>
  <c r="AK94" i="13" s="1"/>
  <c r="AL94" i="13" a="1"/>
  <c r="AL94" i="13" s="1"/>
  <c r="AM94" i="13" a="1"/>
  <c r="AM94" i="13" s="1"/>
  <c r="AN94" i="13" a="1"/>
  <c r="AN94" i="13" s="1"/>
  <c r="AO94" i="13" a="1"/>
  <c r="AO94" i="13" s="1"/>
  <c r="AP94" i="13" a="1"/>
  <c r="AP94" i="13" s="1"/>
  <c r="AQ94" i="13" a="1"/>
  <c r="AQ94" i="13" s="1"/>
  <c r="AV94" i="13"/>
  <c r="AW94" i="13" s="1"/>
  <c r="BB94" i="13"/>
  <c r="BC94" i="13" s="1"/>
  <c r="BE94" i="13"/>
  <c r="BI94" i="13"/>
  <c r="AE95" i="13" a="1"/>
  <c r="AE95" i="13" s="1"/>
  <c r="AF95" i="13" a="1"/>
  <c r="AF95" i="13" s="1"/>
  <c r="AG95" i="13" a="1"/>
  <c r="AG95" i="13" s="1"/>
  <c r="AH95" i="13" a="1"/>
  <c r="AH95" i="13" s="1"/>
  <c r="AI95" i="13" a="1"/>
  <c r="AI95" i="13" s="1"/>
  <c r="AJ95" i="13" a="1"/>
  <c r="AJ95" i="13" s="1"/>
  <c r="AK95" i="13" a="1"/>
  <c r="AK95" i="13" s="1"/>
  <c r="AL95" i="13" a="1"/>
  <c r="AL95" i="13" s="1"/>
  <c r="AM95" i="13" a="1"/>
  <c r="AM95" i="13" s="1"/>
  <c r="AN95" i="13" a="1"/>
  <c r="AN95" i="13" s="1"/>
  <c r="AO95" i="13" a="1"/>
  <c r="AO95" i="13" s="1"/>
  <c r="AP95" i="13" a="1"/>
  <c r="AP95" i="13" s="1"/>
  <c r="AQ95" i="13" a="1"/>
  <c r="AQ95" i="13" s="1"/>
  <c r="AV95" i="13"/>
  <c r="AW95" i="13" s="1"/>
  <c r="BB95" i="13"/>
  <c r="BC95" i="13" s="1"/>
  <c r="BE95" i="13"/>
  <c r="BI95" i="13"/>
  <c r="AE96" i="13" a="1"/>
  <c r="AE96" i="13" s="1"/>
  <c r="AF96" i="13" a="1"/>
  <c r="AF96" i="13" s="1"/>
  <c r="AG96" i="13" a="1"/>
  <c r="AG96" i="13" s="1"/>
  <c r="AH96" i="13" a="1"/>
  <c r="AH96" i="13" s="1"/>
  <c r="AI96" i="13" a="1"/>
  <c r="AI96" i="13" s="1"/>
  <c r="AJ96" i="13" a="1"/>
  <c r="AJ96" i="13" s="1"/>
  <c r="AK96" i="13" a="1"/>
  <c r="AK96" i="13" s="1"/>
  <c r="AL96" i="13" a="1"/>
  <c r="AL96" i="13" s="1"/>
  <c r="AM96" i="13" a="1"/>
  <c r="AM96" i="13" s="1"/>
  <c r="AN96" i="13" a="1"/>
  <c r="AN96" i="13" s="1"/>
  <c r="AO96" i="13" a="1"/>
  <c r="AO96" i="13" s="1"/>
  <c r="AP96" i="13" a="1"/>
  <c r="AP96" i="13" s="1"/>
  <c r="AQ96" i="13" a="1"/>
  <c r="AQ96" i="13" s="1"/>
  <c r="AV96" i="13"/>
  <c r="AW96" i="13" s="1"/>
  <c r="BB96" i="13"/>
  <c r="BC96" i="13" s="1"/>
  <c r="BE96" i="13"/>
  <c r="BI96" i="13"/>
  <c r="AE97" i="13" a="1"/>
  <c r="AE97" i="13" s="1"/>
  <c r="AF97" i="13" a="1"/>
  <c r="AF97" i="13" s="1"/>
  <c r="AG97" i="13" a="1"/>
  <c r="AG97" i="13" s="1"/>
  <c r="AH97" i="13" a="1"/>
  <c r="AH97" i="13" s="1"/>
  <c r="AI97" i="13" a="1"/>
  <c r="AI97" i="13" s="1"/>
  <c r="AJ97" i="13" a="1"/>
  <c r="AJ97" i="13" s="1"/>
  <c r="AK97" i="13" a="1"/>
  <c r="AK97" i="13" s="1"/>
  <c r="AL97" i="13" a="1"/>
  <c r="AL97" i="13" s="1"/>
  <c r="AM97" i="13" a="1"/>
  <c r="AM97" i="13" s="1"/>
  <c r="AN97" i="13" a="1"/>
  <c r="AN97" i="13" s="1"/>
  <c r="AO97" i="13" a="1"/>
  <c r="AO97" i="13" s="1"/>
  <c r="AP97" i="13" a="1"/>
  <c r="AP97" i="13" s="1"/>
  <c r="AQ97" i="13" a="1"/>
  <c r="AQ97" i="13" s="1"/>
  <c r="AV97" i="13"/>
  <c r="AW97" i="13" s="1"/>
  <c r="BB97" i="13"/>
  <c r="BC97" i="13" s="1"/>
  <c r="BE97" i="13"/>
  <c r="BI97" i="13"/>
  <c r="CI5" i="13"/>
  <c r="CR5" i="13"/>
  <c r="CS5" i="13"/>
  <c r="CU5" i="13"/>
  <c r="CI6" i="13"/>
  <c r="CR6" i="13"/>
  <c r="CS6" i="13"/>
  <c r="CU6" i="13"/>
  <c r="CI7" i="13"/>
  <c r="CR7" i="13"/>
  <c r="CS7" i="13"/>
  <c r="CU7" i="13"/>
  <c r="CI8" i="13"/>
  <c r="CR8" i="13"/>
  <c r="CS8" i="13"/>
  <c r="CU8" i="13"/>
  <c r="CI9" i="13"/>
  <c r="CR9" i="13"/>
  <c r="CS9" i="13"/>
  <c r="CU9" i="13"/>
  <c r="CI10" i="13"/>
  <c r="CR10" i="13"/>
  <c r="CS10" i="13"/>
  <c r="CU10" i="13"/>
  <c r="CI11" i="13"/>
  <c r="CR11" i="13"/>
  <c r="CS11" i="13"/>
  <c r="CU11" i="13"/>
  <c r="CI12" i="13"/>
  <c r="CR12" i="13"/>
  <c r="CS12" i="13"/>
  <c r="CU12" i="13"/>
  <c r="CI13" i="13"/>
  <c r="CR13" i="13"/>
  <c r="CS13" i="13"/>
  <c r="CU13" i="13"/>
  <c r="CI14" i="13"/>
  <c r="CR14" i="13"/>
  <c r="CS14" i="13"/>
  <c r="CU14" i="13"/>
  <c r="CI15" i="13"/>
  <c r="CR15" i="13"/>
  <c r="CS15" i="13"/>
  <c r="CU15" i="13"/>
  <c r="CI16" i="13"/>
  <c r="CR16" i="13"/>
  <c r="CS16" i="13"/>
  <c r="CU16" i="13"/>
  <c r="CI17" i="13"/>
  <c r="CR17" i="13"/>
  <c r="CS17" i="13"/>
  <c r="CU17" i="13"/>
  <c r="CI18" i="13"/>
  <c r="CR18" i="13"/>
  <c r="CS18" i="13"/>
  <c r="CU18" i="13"/>
  <c r="CI19" i="13"/>
  <c r="CR19" i="13"/>
  <c r="CS19" i="13"/>
  <c r="CU19" i="13"/>
  <c r="CI20" i="13"/>
  <c r="CR20" i="13"/>
  <c r="CS20" i="13"/>
  <c r="CU20" i="13"/>
  <c r="CI21" i="13"/>
  <c r="CR21" i="13"/>
  <c r="CS21" i="13"/>
  <c r="CU21" i="13"/>
  <c r="CI22" i="13"/>
  <c r="CR22" i="13"/>
  <c r="CS22" i="13"/>
  <c r="CU22" i="13"/>
  <c r="CI23" i="13"/>
  <c r="CR23" i="13"/>
  <c r="CS23" i="13"/>
  <c r="CU23" i="13"/>
  <c r="CI24" i="13"/>
  <c r="CR24" i="13"/>
  <c r="CS24" i="13"/>
  <c r="CU24" i="13"/>
  <c r="CI25" i="13"/>
  <c r="CR25" i="13"/>
  <c r="CS25" i="13"/>
  <c r="CU25" i="13"/>
  <c r="CI26" i="13"/>
  <c r="CR26" i="13"/>
  <c r="CS26" i="13"/>
  <c r="CU26" i="13"/>
  <c r="CI27" i="13"/>
  <c r="CR27" i="13"/>
  <c r="CS27" i="13"/>
  <c r="CU27" i="13"/>
  <c r="CI28" i="13"/>
  <c r="CS28" i="13"/>
  <c r="CU28" i="13"/>
  <c r="CI29" i="13"/>
  <c r="CI30" i="13"/>
  <c r="CI31" i="13"/>
  <c r="CI32" i="13"/>
  <c r="CI33" i="13"/>
  <c r="CI34" i="13"/>
  <c r="CI35" i="13"/>
  <c r="CI36" i="13"/>
  <c r="CI37" i="13"/>
  <c r="CI38" i="13"/>
  <c r="CI39" i="13"/>
  <c r="CI40" i="13"/>
  <c r="CI41" i="13"/>
  <c r="CI42" i="13"/>
  <c r="CI43" i="13"/>
  <c r="CI44" i="13"/>
  <c r="CI45" i="13"/>
  <c r="CI46" i="13"/>
  <c r="CI47" i="13"/>
  <c r="CI48" i="13"/>
  <c r="CI49" i="13"/>
  <c r="CI50" i="13"/>
  <c r="CI51" i="13"/>
  <c r="CI52" i="13"/>
  <c r="CI53" i="13"/>
  <c r="CI54" i="13"/>
  <c r="CI55" i="13"/>
  <c r="CI56" i="13"/>
  <c r="CI57" i="13"/>
  <c r="CI58" i="13"/>
  <c r="CI59" i="13"/>
  <c r="CI60" i="13"/>
  <c r="CI61" i="13"/>
  <c r="CI62" i="13"/>
  <c r="CI63" i="13"/>
  <c r="CI64" i="13"/>
  <c r="CI65" i="13"/>
  <c r="CI66" i="13"/>
  <c r="CI67" i="13"/>
  <c r="CI68" i="13"/>
  <c r="CI69" i="13"/>
  <c r="CI70" i="13"/>
  <c r="CI71" i="13"/>
  <c r="CI72" i="13"/>
  <c r="CI73" i="13"/>
  <c r="CI74" i="13"/>
  <c r="CI75" i="13"/>
  <c r="CI76" i="13"/>
  <c r="CI77" i="13"/>
  <c r="CI78" i="13"/>
  <c r="CI79" i="13"/>
  <c r="CI80" i="13"/>
  <c r="CI81" i="13"/>
  <c r="CI82" i="13"/>
  <c r="CI83" i="13"/>
  <c r="CI84" i="13"/>
  <c r="CI85" i="13"/>
  <c r="CI86" i="13"/>
  <c r="CI87" i="13"/>
  <c r="CI88" i="13"/>
  <c r="CI89" i="13"/>
  <c r="CI90" i="13"/>
  <c r="CI91" i="13"/>
  <c r="CI92" i="13"/>
  <c r="CI93" i="13"/>
  <c r="CI94" i="13"/>
  <c r="CI95" i="13"/>
  <c r="CI96" i="13"/>
  <c r="CI97" i="13"/>
  <c r="CI99" i="13"/>
  <c r="AR98" i="13" l="1"/>
  <c r="AR50" i="13"/>
  <c r="CE50" i="13" s="1"/>
  <c r="CF50" i="13" s="1"/>
  <c r="CH50" i="13" s="1"/>
  <c r="AR40" i="13"/>
  <c r="BM40" i="13" s="1"/>
  <c r="AR57" i="13"/>
  <c r="AY57" i="13" s="1"/>
  <c r="AR86" i="13"/>
  <c r="AY86" i="13" s="1"/>
  <c r="AR66" i="13"/>
  <c r="BM66" i="13" s="1"/>
  <c r="AR36" i="13"/>
  <c r="BM36" i="13" s="1"/>
  <c r="AR8" i="13"/>
  <c r="CE8" i="13" s="1"/>
  <c r="CF8" i="13" s="1"/>
  <c r="CH8" i="13" s="1"/>
  <c r="AR32" i="13"/>
  <c r="BM32" i="13" s="1"/>
  <c r="AR12" i="13"/>
  <c r="AY12" i="13" s="1"/>
  <c r="CT12" i="13" s="1"/>
  <c r="CX12" i="13" s="1"/>
  <c r="AR63" i="13"/>
  <c r="CE63" i="13" s="1"/>
  <c r="CF63" i="13" s="1"/>
  <c r="CH63" i="13" s="1"/>
  <c r="AR75" i="13"/>
  <c r="AY75" i="13" s="1"/>
  <c r="AR54" i="13"/>
  <c r="AY54" i="13" s="1"/>
  <c r="AR24" i="13"/>
  <c r="CE24" i="13" s="1"/>
  <c r="CF24" i="13" s="1"/>
  <c r="CH24" i="13" s="1"/>
  <c r="AR97" i="13"/>
  <c r="CE97" i="13" s="1"/>
  <c r="CF97" i="13" s="1"/>
  <c r="CH97" i="13" s="1"/>
  <c r="AR92" i="13"/>
  <c r="CE92" i="13" s="1"/>
  <c r="CF92" i="13" s="1"/>
  <c r="CH92" i="13" s="1"/>
  <c r="AR27" i="13"/>
  <c r="AY27" i="13" s="1"/>
  <c r="CT27" i="13" s="1"/>
  <c r="CX27" i="13" s="1"/>
  <c r="AR94" i="13"/>
  <c r="AY94" i="13" s="1"/>
  <c r="AR72" i="13"/>
  <c r="AR80" i="13"/>
  <c r="CE80" i="13" s="1"/>
  <c r="AR70" i="13"/>
  <c r="AY70" i="13" s="1"/>
  <c r="AR85" i="13"/>
  <c r="AR81" i="13"/>
  <c r="AR60" i="13"/>
  <c r="BM60" i="13" s="1"/>
  <c r="AR47" i="13"/>
  <c r="BM47" i="13" s="1"/>
  <c r="AR46" i="13"/>
  <c r="AY46" i="13" s="1"/>
  <c r="AR5" i="13"/>
  <c r="AR88" i="13"/>
  <c r="AR87" i="13"/>
  <c r="CE87" i="13" s="1"/>
  <c r="AR58" i="13"/>
  <c r="AR52" i="13"/>
  <c r="AY52" i="13" s="1"/>
  <c r="AR71" i="13"/>
  <c r="AY71" i="13" s="1"/>
  <c r="AR35" i="13"/>
  <c r="CE35" i="13" s="1"/>
  <c r="CF35" i="13" s="1"/>
  <c r="CH35" i="13" s="1"/>
  <c r="AR69" i="13"/>
  <c r="CE69" i="13" s="1"/>
  <c r="CF69" i="13" s="1"/>
  <c r="CH69" i="13" s="1"/>
  <c r="AR19" i="13"/>
  <c r="BM19" i="13" s="1"/>
  <c r="AR74" i="13"/>
  <c r="CE74" i="13" s="1"/>
  <c r="AR68" i="13"/>
  <c r="AR78" i="13"/>
  <c r="CE78" i="13" s="1"/>
  <c r="CF78" i="13" s="1"/>
  <c r="CH78" i="13" s="1"/>
  <c r="AR18" i="13"/>
  <c r="CE18" i="13" s="1"/>
  <c r="CF18" i="13" s="1"/>
  <c r="CH18" i="13" s="1"/>
  <c r="AR17" i="13"/>
  <c r="BM17" i="13" s="1"/>
  <c r="AR55" i="13"/>
  <c r="AY55" i="13" s="1"/>
  <c r="AR43" i="13"/>
  <c r="AR62" i="13"/>
  <c r="AY62" i="13" s="1"/>
  <c r="AR42" i="13"/>
  <c r="AY42" i="13" s="1"/>
  <c r="AR90" i="13"/>
  <c r="AR89" i="13"/>
  <c r="CE89" i="13" s="1"/>
  <c r="CF89" i="13" s="1"/>
  <c r="CH89" i="13" s="1"/>
  <c r="AR83" i="13"/>
  <c r="AR51" i="13"/>
  <c r="BM51" i="13" s="1"/>
  <c r="AR48" i="13"/>
  <c r="AR33" i="13"/>
  <c r="AR37" i="13"/>
  <c r="AR96" i="13"/>
  <c r="BM96" i="13" s="1"/>
  <c r="AR93" i="13"/>
  <c r="AR44" i="13"/>
  <c r="AR39" i="13"/>
  <c r="AR38" i="13"/>
  <c r="CE38" i="13" s="1"/>
  <c r="CF38" i="13" s="1"/>
  <c r="CH38" i="13" s="1"/>
  <c r="AR95" i="13"/>
  <c r="AR77" i="13"/>
  <c r="AR16" i="13"/>
  <c r="AR67" i="13"/>
  <c r="AY67" i="13" s="1"/>
  <c r="AR53" i="13"/>
  <c r="CE53" i="13" s="1"/>
  <c r="CF53" i="13" s="1"/>
  <c r="CH53" i="13" s="1"/>
  <c r="AR45" i="13"/>
  <c r="AR29" i="13"/>
  <c r="AR25" i="13"/>
  <c r="AR49" i="13"/>
  <c r="AY49" i="13" s="1"/>
  <c r="AR31" i="13"/>
  <c r="AR65" i="13"/>
  <c r="CE65" i="13" s="1"/>
  <c r="CF65" i="13" s="1"/>
  <c r="CH65" i="13" s="1"/>
  <c r="AR59" i="13"/>
  <c r="CE59" i="13" s="1"/>
  <c r="AR56" i="13"/>
  <c r="AR82" i="13"/>
  <c r="AY82" i="13" s="1"/>
  <c r="AR23" i="13"/>
  <c r="AR30" i="13"/>
  <c r="CE30" i="13" s="1"/>
  <c r="CF30" i="13" s="1"/>
  <c r="CH30" i="13" s="1"/>
  <c r="AR91" i="13"/>
  <c r="CE91" i="13" s="1"/>
  <c r="CF91" i="13" s="1"/>
  <c r="CH91" i="13" s="1"/>
  <c r="AR84" i="13"/>
  <c r="AR64" i="13"/>
  <c r="BM64" i="13" s="1"/>
  <c r="AR41" i="13"/>
  <c r="BM41" i="13" s="1"/>
  <c r="AR22" i="13"/>
  <c r="AR79" i="13"/>
  <c r="AR34" i="13"/>
  <c r="AY34" i="13" s="1"/>
  <c r="AR73" i="13"/>
  <c r="CE73" i="13" s="1"/>
  <c r="CF73" i="13" s="1"/>
  <c r="CH73" i="13" s="1"/>
  <c r="AR61" i="13"/>
  <c r="AR13" i="13"/>
  <c r="CE13" i="13" s="1"/>
  <c r="CF13" i="13" s="1"/>
  <c r="CH13" i="13" s="1"/>
  <c r="AR26" i="13"/>
  <c r="AR7" i="13"/>
  <c r="AY7" i="13" s="1"/>
  <c r="CT7" i="13" s="1"/>
  <c r="CX7" i="13" s="1"/>
  <c r="AR15" i="13"/>
  <c r="BM15" i="13" s="1"/>
  <c r="AR20" i="13"/>
  <c r="AR10" i="13"/>
  <c r="BM10" i="13" s="1"/>
  <c r="AR6" i="13"/>
  <c r="CE6" i="13" s="1"/>
  <c r="AR76" i="13"/>
  <c r="AR21" i="13"/>
  <c r="CE21" i="13" s="1"/>
  <c r="CF21" i="13" s="1"/>
  <c r="CH21" i="13" s="1"/>
  <c r="AR14" i="13"/>
  <c r="CE14" i="13" s="1"/>
  <c r="CF14" i="13" s="1"/>
  <c r="CH14" i="13" s="1"/>
  <c r="AR11" i="13"/>
  <c r="AR28" i="13"/>
  <c r="CE28" i="13" s="1"/>
  <c r="CF28" i="13" s="1"/>
  <c r="CH28" i="13" s="1"/>
  <c r="AR9" i="13"/>
  <c r="CW6" i="13"/>
  <c r="CW17" i="13"/>
  <c r="CW26" i="13"/>
  <c r="CW5" i="13"/>
  <c r="CW13" i="13"/>
  <c r="CW22" i="13"/>
  <c r="CW25" i="13"/>
  <c r="CW10" i="13"/>
  <c r="CW21" i="13"/>
  <c r="CW12" i="13"/>
  <c r="CW11" i="13"/>
  <c r="CW9" i="13"/>
  <c r="CW18" i="13"/>
  <c r="CW14" i="13"/>
  <c r="CW20" i="13"/>
  <c r="CW19" i="13"/>
  <c r="CW8" i="13"/>
  <c r="CW23" i="13"/>
  <c r="CW15" i="13"/>
  <c r="CW16" i="13"/>
  <c r="CW24" i="13"/>
  <c r="CW27" i="13"/>
  <c r="CW7" i="13"/>
  <c r="BM98" i="13" l="1"/>
  <c r="AY98" i="13"/>
  <c r="AY50" i="13"/>
  <c r="BM50" i="13"/>
  <c r="AY8" i="13"/>
  <c r="CT8" i="13" s="1"/>
  <c r="CX8" i="13" s="1"/>
  <c r="BM8" i="13"/>
  <c r="CE27" i="13"/>
  <c r="CF27" i="13" s="1"/>
  <c r="CH27" i="13" s="1"/>
  <c r="BM67" i="13"/>
  <c r="AY63" i="13"/>
  <c r="CE57" i="13"/>
  <c r="CF57" i="13" s="1"/>
  <c r="CH57" i="13" s="1"/>
  <c r="AY40" i="13"/>
  <c r="AY78" i="13"/>
  <c r="BM57" i="13"/>
  <c r="BM65" i="13"/>
  <c r="BM75" i="13"/>
  <c r="AY65" i="13"/>
  <c r="BM24" i="13"/>
  <c r="BM53" i="13"/>
  <c r="AY92" i="13"/>
  <c r="BM91" i="13"/>
  <c r="BM86" i="13"/>
  <c r="AY91" i="13"/>
  <c r="BM92" i="13"/>
  <c r="AY53" i="13"/>
  <c r="CE75" i="13"/>
  <c r="CF75" i="13" s="1"/>
  <c r="CH75" i="13" s="1"/>
  <c r="CE12" i="13"/>
  <c r="CF12" i="13" s="1"/>
  <c r="CH12" i="13" s="1"/>
  <c r="BM14" i="13"/>
  <c r="CE19" i="13"/>
  <c r="CF19" i="13" s="1"/>
  <c r="CH19" i="13" s="1"/>
  <c r="AY15" i="13"/>
  <c r="CT15" i="13" s="1"/>
  <c r="CX15" i="13" s="1"/>
  <c r="CE15" i="13"/>
  <c r="CF15" i="13" s="1"/>
  <c r="CH15" i="13" s="1"/>
  <c r="AY14" i="13"/>
  <c r="CT14" i="13" s="1"/>
  <c r="CX14" i="13" s="1"/>
  <c r="CE82" i="13"/>
  <c r="CF82" i="13" s="1"/>
  <c r="CH82" i="13" s="1"/>
  <c r="BM82" i="13"/>
  <c r="CE86" i="13"/>
  <c r="CF86" i="13" s="1"/>
  <c r="CH86" i="13" s="1"/>
  <c r="AY19" i="13"/>
  <c r="CT19" i="13" s="1"/>
  <c r="CX19" i="13" s="1"/>
  <c r="BM7" i="13"/>
  <c r="CE17" i="13"/>
  <c r="CF17" i="13" s="1"/>
  <c r="CH17" i="13" s="1"/>
  <c r="CE34" i="13"/>
  <c r="CF34" i="13" s="1"/>
  <c r="CH34" i="13" s="1"/>
  <c r="CE54" i="13"/>
  <c r="CF54" i="13" s="1"/>
  <c r="CH54" i="13" s="1"/>
  <c r="BM38" i="13"/>
  <c r="CE7" i="13"/>
  <c r="CF7" i="13" s="1"/>
  <c r="CH7" i="13" s="1"/>
  <c r="AY17" i="13"/>
  <c r="CT17" i="13" s="1"/>
  <c r="CX17" i="13" s="1"/>
  <c r="BM63" i="13"/>
  <c r="AY38" i="13"/>
  <c r="CE40" i="13"/>
  <c r="CF40" i="13" s="1"/>
  <c r="CH40" i="13" s="1"/>
  <c r="BM94" i="13"/>
  <c r="BM35" i="13"/>
  <c r="CE94" i="13"/>
  <c r="CF94" i="13" s="1"/>
  <c r="CH94" i="13" s="1"/>
  <c r="BM34" i="13"/>
  <c r="AY24" i="13"/>
  <c r="CT24" i="13" s="1"/>
  <c r="CX24" i="13" s="1"/>
  <c r="BM12" i="13"/>
  <c r="CE64" i="13"/>
  <c r="CF64" i="13" s="1"/>
  <c r="CH64" i="13" s="1"/>
  <c r="AY64" i="13"/>
  <c r="AY96" i="13"/>
  <c r="CE36" i="13"/>
  <c r="CF36" i="13" s="1"/>
  <c r="CH36" i="13" s="1"/>
  <c r="BM27" i="13"/>
  <c r="CE47" i="13"/>
  <c r="CF47" i="13" s="1"/>
  <c r="CH47" i="13" s="1"/>
  <c r="CE96" i="13"/>
  <c r="CF96" i="13" s="1"/>
  <c r="CH96" i="13" s="1"/>
  <c r="AY36" i="13"/>
  <c r="CE66" i="13"/>
  <c r="CF66" i="13" s="1"/>
  <c r="CH66" i="13" s="1"/>
  <c r="CE32" i="13"/>
  <c r="CF32" i="13" s="1"/>
  <c r="CH32" i="13" s="1"/>
  <c r="BM71" i="13"/>
  <c r="BM6" i="13"/>
  <c r="BM97" i="13"/>
  <c r="AY32" i="13"/>
  <c r="BM46" i="13"/>
  <c r="AY66" i="13"/>
  <c r="AY97" i="13"/>
  <c r="AY60" i="13"/>
  <c r="CE71" i="13"/>
  <c r="CF71" i="13" s="1"/>
  <c r="CH71" i="13" s="1"/>
  <c r="BM54" i="13"/>
  <c r="CE46" i="13"/>
  <c r="CF46" i="13" s="1"/>
  <c r="CH46" i="13" s="1"/>
  <c r="AY35" i="13"/>
  <c r="AY30" i="13"/>
  <c r="AY47" i="13"/>
  <c r="BM30" i="13"/>
  <c r="AY69" i="13"/>
  <c r="AY73" i="13"/>
  <c r="CE62" i="13"/>
  <c r="CF62" i="13" s="1"/>
  <c r="CH62" i="13" s="1"/>
  <c r="CE60" i="13"/>
  <c r="CF60" i="13" s="1"/>
  <c r="CH60" i="13" s="1"/>
  <c r="BM62" i="13"/>
  <c r="CE67" i="13"/>
  <c r="CF67" i="13" s="1"/>
  <c r="CH67" i="13" s="1"/>
  <c r="CF59" i="13"/>
  <c r="CH59" i="13" s="1"/>
  <c r="CF80" i="13"/>
  <c r="CH80" i="13" s="1"/>
  <c r="BM58" i="13"/>
  <c r="CE58" i="13"/>
  <c r="AY58" i="13"/>
  <c r="CF87" i="13"/>
  <c r="CH87" i="13" s="1"/>
  <c r="AY6" i="13"/>
  <c r="CT6" i="13" s="1"/>
  <c r="CX6" i="13" s="1"/>
  <c r="CE51" i="13"/>
  <c r="CF51" i="13" s="1"/>
  <c r="CH51" i="13" s="1"/>
  <c r="CE25" i="13"/>
  <c r="AY25" i="13"/>
  <c r="CT25" i="13" s="1"/>
  <c r="CX25" i="13" s="1"/>
  <c r="BM25" i="13"/>
  <c r="AY44" i="13"/>
  <c r="BM44" i="13"/>
  <c r="CE44" i="13"/>
  <c r="CE77" i="13"/>
  <c r="AY77" i="13"/>
  <c r="BM77" i="13"/>
  <c r="CE56" i="13"/>
  <c r="BM56" i="13"/>
  <c r="AY56" i="13"/>
  <c r="BM79" i="13"/>
  <c r="CE79" i="13"/>
  <c r="AY79" i="13"/>
  <c r="CE48" i="13"/>
  <c r="AY48" i="13"/>
  <c r="BM48" i="13"/>
  <c r="CF6" i="13"/>
  <c r="CH6" i="13" s="1"/>
  <c r="BM85" i="13"/>
  <c r="AY85" i="13"/>
  <c r="CE85" i="13"/>
  <c r="CE55" i="13"/>
  <c r="BM55" i="13"/>
  <c r="AY51" i="13"/>
  <c r="BM80" i="13"/>
  <c r="AY80" i="13"/>
  <c r="CE52" i="13"/>
  <c r="BM52" i="13"/>
  <c r="BM87" i="13"/>
  <c r="AY87" i="13"/>
  <c r="AY88" i="13"/>
  <c r="BM88" i="13"/>
  <c r="CE88" i="13"/>
  <c r="CF74" i="13"/>
  <c r="CH74" i="13" s="1"/>
  <c r="AY33" i="13"/>
  <c r="CE33" i="13"/>
  <c r="BM33" i="13"/>
  <c r="CE99" i="13"/>
  <c r="BM95" i="13"/>
  <c r="AY95" i="13"/>
  <c r="CE95" i="13"/>
  <c r="BM59" i="13"/>
  <c r="AY59" i="13"/>
  <c r="AY23" i="13"/>
  <c r="CT23" i="13" s="1"/>
  <c r="CX23" i="13" s="1"/>
  <c r="BM23" i="13"/>
  <c r="CE23" i="13"/>
  <c r="AY16" i="13"/>
  <c r="CT16" i="13" s="1"/>
  <c r="CX16" i="13" s="1"/>
  <c r="BM16" i="13"/>
  <c r="CE16" i="13"/>
  <c r="BM37" i="13"/>
  <c r="CE37" i="13"/>
  <c r="AY37" i="13"/>
  <c r="BM81" i="13"/>
  <c r="AY81" i="13"/>
  <c r="CE81" i="13"/>
  <c r="BM70" i="13"/>
  <c r="CE70" i="13"/>
  <c r="AY26" i="13"/>
  <c r="CT26" i="13" s="1"/>
  <c r="CX26" i="13" s="1"/>
  <c r="CE26" i="13"/>
  <c r="BM26" i="13"/>
  <c r="AY22" i="13"/>
  <c r="CT22" i="13" s="1"/>
  <c r="CX22" i="13" s="1"/>
  <c r="BM22" i="13"/>
  <c r="CE22" i="13"/>
  <c r="BM83" i="13"/>
  <c r="AY83" i="13"/>
  <c r="CE83" i="13"/>
  <c r="CE68" i="13"/>
  <c r="AY68" i="13"/>
  <c r="BM68" i="13"/>
  <c r="BM5" i="13"/>
  <c r="CE5" i="13"/>
  <c r="BM31" i="13"/>
  <c r="AY31" i="13"/>
  <c r="CE31" i="13"/>
  <c r="BM89" i="13"/>
  <c r="AY89" i="13"/>
  <c r="AY74" i="13"/>
  <c r="BM74" i="13"/>
  <c r="BM72" i="13"/>
  <c r="CE72" i="13"/>
  <c r="AY72" i="13"/>
  <c r="BM49" i="13"/>
  <c r="CE49" i="13"/>
  <c r="AY90" i="13"/>
  <c r="BM90" i="13"/>
  <c r="CE90" i="13"/>
  <c r="AY5" i="13"/>
  <c r="CT5" i="13" s="1"/>
  <c r="CX5" i="13" s="1"/>
  <c r="BM69" i="13"/>
  <c r="BM9" i="13"/>
  <c r="AY9" i="13"/>
  <c r="CT9" i="13" s="1"/>
  <c r="CX9" i="13" s="1"/>
  <c r="CE9" i="13"/>
  <c r="AY76" i="13"/>
  <c r="BM76" i="13"/>
  <c r="CE76" i="13"/>
  <c r="CE41" i="13"/>
  <c r="AY41" i="13"/>
  <c r="BM39" i="13"/>
  <c r="CE39" i="13"/>
  <c r="AY39" i="13"/>
  <c r="AY84" i="13"/>
  <c r="BM84" i="13"/>
  <c r="CE84" i="13"/>
  <c r="BM29" i="13"/>
  <c r="AY29" i="13"/>
  <c r="CE29" i="13"/>
  <c r="CE93" i="13"/>
  <c r="AY93" i="13"/>
  <c r="BM93" i="13"/>
  <c r="BM73" i="13"/>
  <c r="BM28" i="13"/>
  <c r="AY28" i="13"/>
  <c r="CE10" i="13"/>
  <c r="AY13" i="13"/>
  <c r="CT13" i="13" s="1"/>
  <c r="CX13" i="13" s="1"/>
  <c r="BM11" i="13"/>
  <c r="AY11" i="13"/>
  <c r="CT11" i="13" s="1"/>
  <c r="CX11" i="13" s="1"/>
  <c r="CE11" i="13"/>
  <c r="AY20" i="13"/>
  <c r="CT20" i="13" s="1"/>
  <c r="CX20" i="13" s="1"/>
  <c r="BM20" i="13"/>
  <c r="CE20" i="13"/>
  <c r="CE42" i="13"/>
  <c r="BM42" i="13"/>
  <c r="AY10" i="13"/>
  <c r="CT10" i="13" s="1"/>
  <c r="CX10" i="13" s="1"/>
  <c r="BM13" i="13"/>
  <c r="AY18" i="13"/>
  <c r="CT18" i="13" s="1"/>
  <c r="CX18" i="13" s="1"/>
  <c r="BM21" i="13"/>
  <c r="BM78" i="13"/>
  <c r="CE45" i="13"/>
  <c r="BM45" i="13"/>
  <c r="AY45" i="13"/>
  <c r="BM18" i="13"/>
  <c r="AY21" i="13"/>
  <c r="CT21" i="13" s="1"/>
  <c r="CX21" i="13" s="1"/>
  <c r="AY61" i="13"/>
  <c r="BM61" i="13"/>
  <c r="CE61" i="13"/>
  <c r="BM43" i="13"/>
  <c r="AY43" i="13"/>
  <c r="CE43" i="13"/>
  <c r="CK21" i="13" l="1"/>
  <c r="CK80" i="13"/>
  <c r="CL7" i="13"/>
  <c r="CK7" i="13"/>
  <c r="CJ15" i="13"/>
  <c r="CL50" i="13"/>
  <c r="CM91" i="13"/>
  <c r="CJ50" i="13"/>
  <c r="CJ59" i="13"/>
  <c r="CM32" i="13"/>
  <c r="CK38" i="13"/>
  <c r="CK47" i="13"/>
  <c r="CJ51" i="13"/>
  <c r="CK19" i="13"/>
  <c r="CM85" i="13"/>
  <c r="CN53" i="13"/>
  <c r="CL59" i="13"/>
  <c r="CN7" i="13"/>
  <c r="CN28" i="13"/>
  <c r="CN75" i="13"/>
  <c r="CF45" i="13"/>
  <c r="CH45" i="13" s="1"/>
  <c r="CK45" i="13"/>
  <c r="CJ45" i="13"/>
  <c r="CN45" i="13"/>
  <c r="CM45" i="13"/>
  <c r="CL45" i="13"/>
  <c r="CK94" i="13"/>
  <c r="CL55" i="13"/>
  <c r="CM84" i="13"/>
  <c r="CL84" i="13"/>
  <c r="CK84" i="13"/>
  <c r="CN84" i="13"/>
  <c r="CJ84" i="13"/>
  <c r="CF84" i="13"/>
  <c r="CH84" i="13" s="1"/>
  <c r="CL34" i="13"/>
  <c r="CJ62" i="13"/>
  <c r="CM82" i="13"/>
  <c r="CJ19" i="13"/>
  <c r="CN47" i="13"/>
  <c r="CL86" i="13"/>
  <c r="CF10" i="13"/>
  <c r="CH10" i="13" s="1"/>
  <c r="CK10" i="13"/>
  <c r="CL10" i="13"/>
  <c r="CK57" i="13"/>
  <c r="CF25" i="13"/>
  <c r="CH25" i="13" s="1"/>
  <c r="CL25" i="13"/>
  <c r="CK25" i="13"/>
  <c r="CM25" i="13"/>
  <c r="CN25" i="13"/>
  <c r="CJ25" i="13"/>
  <c r="CM62" i="13"/>
  <c r="CL35" i="13"/>
  <c r="CM64" i="13"/>
  <c r="CL71" i="13"/>
  <c r="CK64" i="13"/>
  <c r="CL62" i="13"/>
  <c r="CN62" i="13"/>
  <c r="CK60" i="13"/>
  <c r="CK89" i="13"/>
  <c r="CF72" i="13"/>
  <c r="CH72" i="13" s="1"/>
  <c r="CN72" i="13"/>
  <c r="CK72" i="13"/>
  <c r="CM72" i="13"/>
  <c r="CL72" i="13"/>
  <c r="CJ72" i="13"/>
  <c r="CF56" i="13"/>
  <c r="CH56" i="13" s="1"/>
  <c r="CJ56" i="13"/>
  <c r="CK56" i="13"/>
  <c r="CN56" i="13"/>
  <c r="CM56" i="13"/>
  <c r="CL56" i="13"/>
  <c r="CM51" i="13"/>
  <c r="CN51" i="13"/>
  <c r="CL51" i="13"/>
  <c r="CK51" i="13"/>
  <c r="CN19" i="13"/>
  <c r="CL54" i="13"/>
  <c r="CJ6" i="13"/>
  <c r="CK50" i="13"/>
  <c r="CK46" i="13"/>
  <c r="CN87" i="13"/>
  <c r="CL80" i="13"/>
  <c r="CM28" i="13"/>
  <c r="CF39" i="13"/>
  <c r="CH39" i="13" s="1"/>
  <c r="CM39" i="13"/>
  <c r="CJ39" i="13"/>
  <c r="CK39" i="13"/>
  <c r="CN39" i="13"/>
  <c r="CL39" i="13"/>
  <c r="CM65" i="13"/>
  <c r="CF68" i="13"/>
  <c r="CH68" i="13" s="1"/>
  <c r="CN68" i="13"/>
  <c r="CL68" i="13"/>
  <c r="CM68" i="13"/>
  <c r="CK68" i="13"/>
  <c r="CJ68" i="13"/>
  <c r="CF52" i="13"/>
  <c r="CH52" i="13" s="1"/>
  <c r="CN52" i="13"/>
  <c r="CL52" i="13"/>
  <c r="CM52" i="13"/>
  <c r="CK52" i="13"/>
  <c r="CJ52" i="13"/>
  <c r="CF85" i="13"/>
  <c r="CH85" i="13" s="1"/>
  <c r="CJ85" i="13"/>
  <c r="CN85" i="13"/>
  <c r="CK54" i="13"/>
  <c r="CM50" i="13"/>
  <c r="CN82" i="13"/>
  <c r="CJ10" i="13"/>
  <c r="CN64" i="13"/>
  <c r="CK85" i="13"/>
  <c r="CF43" i="13"/>
  <c r="CH43" i="13" s="1"/>
  <c r="CM43" i="13"/>
  <c r="CJ43" i="13"/>
  <c r="CN43" i="13"/>
  <c r="CL43" i="13"/>
  <c r="CK43" i="13"/>
  <c r="CK96" i="13"/>
  <c r="CK17" i="13"/>
  <c r="CF83" i="13"/>
  <c r="CH83" i="13" s="1"/>
  <c r="CM83" i="13"/>
  <c r="CK83" i="13"/>
  <c r="CL83" i="13"/>
  <c r="CJ83" i="13"/>
  <c r="CN83" i="13"/>
  <c r="CF95" i="13"/>
  <c r="CH95" i="13" s="1"/>
  <c r="CM95" i="13"/>
  <c r="CJ95" i="13"/>
  <c r="CN95" i="13"/>
  <c r="CF88" i="13"/>
  <c r="CH88" i="13" s="1"/>
  <c r="CL88" i="13"/>
  <c r="CM88" i="13"/>
  <c r="CN88" i="13"/>
  <c r="CK88" i="13"/>
  <c r="CJ88" i="13"/>
  <c r="CJ66" i="13"/>
  <c r="CF77" i="13"/>
  <c r="CH77" i="13" s="1"/>
  <c r="CK77" i="13"/>
  <c r="CN77" i="13"/>
  <c r="CM77" i="13"/>
  <c r="CJ77" i="13"/>
  <c r="CL77" i="13"/>
  <c r="CK87" i="13"/>
  <c r="CJ54" i="13"/>
  <c r="CN80" i="13"/>
  <c r="CM94" i="13"/>
  <c r="CM54" i="13"/>
  <c r="CM46" i="13"/>
  <c r="CN46" i="13"/>
  <c r="CK62" i="13"/>
  <c r="CM15" i="13"/>
  <c r="CJ53" i="13"/>
  <c r="CK71" i="13"/>
  <c r="CN74" i="13"/>
  <c r="CL73" i="13"/>
  <c r="CM66" i="13"/>
  <c r="CL87" i="13"/>
  <c r="CM80" i="13"/>
  <c r="CF41" i="13"/>
  <c r="CH41" i="13" s="1"/>
  <c r="CM41" i="13"/>
  <c r="CK41" i="13"/>
  <c r="CL41" i="13"/>
  <c r="CN41" i="13"/>
  <c r="CJ41" i="13"/>
  <c r="CJ87" i="13"/>
  <c r="CK18" i="13"/>
  <c r="CL38" i="13"/>
  <c r="CK35" i="13"/>
  <c r="CK28" i="13"/>
  <c r="CN54" i="13"/>
  <c r="CF61" i="13"/>
  <c r="CH61" i="13" s="1"/>
  <c r="CL61" i="13"/>
  <c r="CK61" i="13"/>
  <c r="CM61" i="13"/>
  <c r="CJ61" i="13"/>
  <c r="CN61" i="13"/>
  <c r="CF93" i="13"/>
  <c r="CH93" i="13" s="1"/>
  <c r="CN93" i="13"/>
  <c r="CK93" i="13"/>
  <c r="CJ93" i="13"/>
  <c r="CM93" i="13"/>
  <c r="CL93" i="13"/>
  <c r="CF22" i="13"/>
  <c r="CH22" i="13" s="1"/>
  <c r="CN22" i="13"/>
  <c r="CL22" i="13"/>
  <c r="CM22" i="13"/>
  <c r="CK22" i="13"/>
  <c r="CJ22" i="13"/>
  <c r="CL94" i="13"/>
  <c r="CM87" i="13"/>
  <c r="CM6" i="13"/>
  <c r="CN55" i="13"/>
  <c r="CJ96" i="13"/>
  <c r="CM29" i="13"/>
  <c r="CN29" i="13"/>
  <c r="CL29" i="13"/>
  <c r="CJ29" i="13"/>
  <c r="CK29" i="13"/>
  <c r="CF29" i="13"/>
  <c r="CH29" i="13" s="1"/>
  <c r="CF37" i="13"/>
  <c r="CH37" i="13" s="1"/>
  <c r="CN37" i="13"/>
  <c r="CM37" i="13"/>
  <c r="CK37" i="13"/>
  <c r="CJ37" i="13"/>
  <c r="CL37" i="13"/>
  <c r="CF99" i="13"/>
  <c r="CH99" i="13" s="1"/>
  <c r="CN99" i="13"/>
  <c r="CM99" i="13"/>
  <c r="CK99" i="13"/>
  <c r="CJ99" i="13"/>
  <c r="CL99" i="13"/>
  <c r="CF33" i="13"/>
  <c r="CH33" i="13" s="1"/>
  <c r="CK33" i="13"/>
  <c r="CL33" i="13"/>
  <c r="CM33" i="13"/>
  <c r="CJ33" i="13"/>
  <c r="CN33" i="13"/>
  <c r="CL69" i="13"/>
  <c r="CN6" i="13"/>
  <c r="CM7" i="13"/>
  <c r="CF76" i="13"/>
  <c r="CH76" i="13" s="1"/>
  <c r="CK76" i="13"/>
  <c r="CN76" i="13"/>
  <c r="CJ76" i="13"/>
  <c r="CM76" i="13"/>
  <c r="CL76" i="13"/>
  <c r="CM78" i="13"/>
  <c r="CJ71" i="13"/>
  <c r="CK75" i="13"/>
  <c r="CM75" i="13"/>
  <c r="CJ35" i="13"/>
  <c r="CM38" i="13"/>
  <c r="CN96" i="13"/>
  <c r="CN69" i="13"/>
  <c r="CF31" i="13"/>
  <c r="CH31" i="13" s="1"/>
  <c r="CL31" i="13"/>
  <c r="CN31" i="13"/>
  <c r="CJ31" i="13"/>
  <c r="CM31" i="13"/>
  <c r="CK31" i="13"/>
  <c r="CF16" i="13"/>
  <c r="CH16" i="13" s="1"/>
  <c r="CJ16" i="13"/>
  <c r="CN16" i="13"/>
  <c r="CL16" i="13"/>
  <c r="CK16" i="13"/>
  <c r="CM16" i="13"/>
  <c r="CL78" i="13"/>
  <c r="CJ7" i="13"/>
  <c r="CM10" i="13"/>
  <c r="CN38" i="13"/>
  <c r="CN35" i="13"/>
  <c r="CJ74" i="13"/>
  <c r="CF70" i="13"/>
  <c r="CH70" i="13" s="1"/>
  <c r="CL70" i="13"/>
  <c r="CN70" i="13"/>
  <c r="CJ70" i="13"/>
  <c r="CK70" i="13"/>
  <c r="CM70" i="13"/>
  <c r="CF23" i="13"/>
  <c r="CH23" i="13" s="1"/>
  <c r="CJ23" i="13"/>
  <c r="CL23" i="13"/>
  <c r="CM23" i="13"/>
  <c r="CN23" i="13"/>
  <c r="CK23" i="13"/>
  <c r="CK67" i="13"/>
  <c r="CJ47" i="13"/>
  <c r="CL18" i="13"/>
  <c r="CJ82" i="13"/>
  <c r="CK95" i="13"/>
  <c r="CL17" i="13"/>
  <c r="CF9" i="13"/>
  <c r="CH9" i="13" s="1"/>
  <c r="CM9" i="13"/>
  <c r="CK9" i="13"/>
  <c r="CJ9" i="13"/>
  <c r="CN9" i="13"/>
  <c r="CL9" i="13"/>
  <c r="CK53" i="13"/>
  <c r="CN89" i="13"/>
  <c r="CL85" i="13"/>
  <c r="CJ46" i="13"/>
  <c r="CM19" i="13"/>
  <c r="CK69" i="13"/>
  <c r="CM71" i="13"/>
  <c r="CF58" i="13"/>
  <c r="CH58" i="13" s="1"/>
  <c r="CJ58" i="13"/>
  <c r="CL58" i="13"/>
  <c r="CK58" i="13"/>
  <c r="CM58" i="13"/>
  <c r="CN58" i="13"/>
  <c r="CK74" i="13"/>
  <c r="CK66" i="13"/>
  <c r="CJ34" i="13"/>
  <c r="CN15" i="13"/>
  <c r="CN27" i="13"/>
  <c r="CF55" i="13"/>
  <c r="CH55" i="13" s="1"/>
  <c r="CJ55" i="13"/>
  <c r="CJ94" i="13"/>
  <c r="CM57" i="13"/>
  <c r="CL67" i="13"/>
  <c r="CN10" i="13"/>
  <c r="CL21" i="13"/>
  <c r="CF11" i="13"/>
  <c r="CH11" i="13" s="1"/>
  <c r="CL11" i="13"/>
  <c r="CJ11" i="13"/>
  <c r="CN11" i="13"/>
  <c r="CK11" i="13"/>
  <c r="CM11" i="13"/>
  <c r="CF81" i="13"/>
  <c r="CH81" i="13" s="1"/>
  <c r="CK81" i="13"/>
  <c r="CJ81" i="13"/>
  <c r="CL81" i="13"/>
  <c r="CM81" i="13"/>
  <c r="CN81" i="13"/>
  <c r="CF48" i="13"/>
  <c r="CH48" i="13" s="1"/>
  <c r="CM48" i="13"/>
  <c r="CN48" i="13"/>
  <c r="CL48" i="13"/>
  <c r="CJ48" i="13"/>
  <c r="CK48" i="13"/>
  <c r="CF44" i="13"/>
  <c r="CH44" i="13" s="1"/>
  <c r="CN44" i="13"/>
  <c r="CM44" i="13"/>
  <c r="CK44" i="13"/>
  <c r="CL44" i="13"/>
  <c r="CJ44" i="13"/>
  <c r="CL64" i="13"/>
  <c r="CK59" i="13"/>
  <c r="CJ80" i="13"/>
  <c r="CL47" i="13"/>
  <c r="CF26" i="13"/>
  <c r="CH26" i="13" s="1"/>
  <c r="CN26" i="13"/>
  <c r="CK26" i="13"/>
  <c r="CJ26" i="13"/>
  <c r="CM26" i="13"/>
  <c r="CL26" i="13"/>
  <c r="CJ73" i="13"/>
  <c r="CJ64" i="13"/>
  <c r="CN59" i="13"/>
  <c r="CM47" i="13"/>
  <c r="CJ69" i="13"/>
  <c r="CN32" i="13"/>
  <c r="CM49" i="13"/>
  <c r="CL49" i="13"/>
  <c r="CN49" i="13"/>
  <c r="CK49" i="13"/>
  <c r="CJ49" i="13"/>
  <c r="CF49" i="13"/>
  <c r="CH49" i="13" s="1"/>
  <c r="CK34" i="13"/>
  <c r="CF79" i="13"/>
  <c r="CH79" i="13" s="1"/>
  <c r="CN79" i="13"/>
  <c r="CM79" i="13"/>
  <c r="CJ79" i="13"/>
  <c r="CL79" i="13"/>
  <c r="CK79" i="13"/>
  <c r="CM59" i="13"/>
  <c r="CF42" i="13"/>
  <c r="CH42" i="13" s="1"/>
  <c r="CN42" i="13"/>
  <c r="CK42" i="13"/>
  <c r="CJ42" i="13"/>
  <c r="CM42" i="13"/>
  <c r="CL42" i="13"/>
  <c r="CL53" i="13"/>
  <c r="CF90" i="13"/>
  <c r="CH90" i="13" s="1"/>
  <c r="CN90" i="13"/>
  <c r="CJ90" i="13"/>
  <c r="CL90" i="13"/>
  <c r="CM90" i="13"/>
  <c r="CK90" i="13"/>
  <c r="CJ28" i="13"/>
  <c r="CL46" i="13"/>
  <c r="CK82" i="13"/>
  <c r="CL89" i="13"/>
  <c r="CM35" i="13"/>
  <c r="CM55" i="13"/>
  <c r="CK55" i="13"/>
  <c r="CM53" i="13"/>
  <c r="CN65" i="13"/>
  <c r="CN34" i="13"/>
  <c r="CM74" i="13"/>
  <c r="CJ32" i="13"/>
  <c r="CL28" i="13"/>
  <c r="CF20" i="13"/>
  <c r="CH20" i="13" s="1"/>
  <c r="CJ20" i="13"/>
  <c r="CL20" i="13"/>
  <c r="CK20" i="13"/>
  <c r="CN20" i="13"/>
  <c r="CM20" i="13"/>
  <c r="CK15" i="13"/>
  <c r="CN66" i="13"/>
  <c r="CJ57" i="13"/>
  <c r="CL15" i="13"/>
  <c r="CL95" i="13"/>
  <c r="CL14" i="13"/>
  <c r="CN63" i="13"/>
  <c r="CM24" i="13"/>
  <c r="CL92" i="13"/>
  <c r="CM8" i="13"/>
  <c r="CM63" i="13"/>
  <c r="CL97" i="13"/>
  <c r="CL75" i="13"/>
  <c r="CM36" i="13"/>
  <c r="CN97" i="13"/>
  <c r="CK97" i="13"/>
  <c r="CJ12" i="13"/>
  <c r="CN40" i="13"/>
  <c r="CL36" i="13"/>
  <c r="CJ30" i="13"/>
  <c r="CN12" i="13"/>
  <c r="CJ92" i="13"/>
  <c r="CJ8" i="13"/>
  <c r="CK92" i="13"/>
  <c r="CJ89" i="13"/>
  <c r="CL13" i="13"/>
  <c r="CN18" i="13"/>
  <c r="CJ40" i="13"/>
  <c r="CL24" i="13"/>
  <c r="CK24" i="13"/>
  <c r="CK91" i="13"/>
  <c r="CJ97" i="13"/>
  <c r="CM96" i="13"/>
  <c r="CK63" i="13"/>
  <c r="CJ86" i="13"/>
  <c r="CM97" i="13"/>
  <c r="CM18" i="13"/>
  <c r="CM60" i="13"/>
  <c r="CN21" i="13"/>
  <c r="CL40" i="13"/>
  <c r="CN17" i="13"/>
  <c r="CJ24" i="13"/>
  <c r="CM67" i="13"/>
  <c r="CM13" i="13"/>
  <c r="CN8" i="13"/>
  <c r="CN92" i="13"/>
  <c r="CN13" i="13"/>
  <c r="CJ91" i="13"/>
  <c r="CM89" i="13"/>
  <c r="CL19" i="13"/>
  <c r="CJ17" i="13"/>
  <c r="CM21" i="13"/>
  <c r="CJ27" i="13"/>
  <c r="CL12" i="13"/>
  <c r="CL6" i="13"/>
  <c r="CL91" i="13"/>
  <c r="CK6" i="13"/>
  <c r="CK30" i="13"/>
  <c r="CL63" i="13"/>
  <c r="CK36" i="13"/>
  <c r="CM12" i="13"/>
  <c r="CN24" i="13"/>
  <c r="CK78" i="13"/>
  <c r="CN60" i="13"/>
  <c r="CL30" i="13"/>
  <c r="CJ75" i="13"/>
  <c r="CK12" i="13"/>
  <c r="CL96" i="13"/>
  <c r="CJ67" i="13"/>
  <c r="CN71" i="13"/>
  <c r="CJ18" i="13"/>
  <c r="CN86" i="13"/>
  <c r="CK8" i="13"/>
  <c r="CN78" i="13"/>
  <c r="CJ21" i="13"/>
  <c r="CL65" i="13"/>
  <c r="CK73" i="13"/>
  <c r="CJ63" i="13"/>
  <c r="CK65" i="13"/>
  <c r="CM17" i="13"/>
  <c r="CJ13" i="13"/>
  <c r="CL82" i="13"/>
  <c r="CL8" i="13"/>
  <c r="CK14" i="13"/>
  <c r="CJ36" i="13"/>
  <c r="CN73" i="13"/>
  <c r="CL60" i="13"/>
  <c r="CJ14" i="13"/>
  <c r="CM27" i="13"/>
  <c r="CK13" i="13"/>
  <c r="CM40" i="13"/>
  <c r="CK27" i="13"/>
  <c r="CN30" i="13"/>
  <c r="CN67" i="13"/>
  <c r="CN36" i="13"/>
  <c r="CL27" i="13"/>
  <c r="CK40" i="13"/>
  <c r="CK86" i="13"/>
  <c r="CM69" i="13"/>
  <c r="CM86" i="13"/>
  <c r="CL32" i="13"/>
  <c r="CN14" i="13"/>
  <c r="CM14" i="13"/>
  <c r="CN50" i="13"/>
  <c r="CM73" i="13"/>
  <c r="CN91" i="13"/>
  <c r="CM92" i="13"/>
  <c r="CJ78" i="13"/>
  <c r="CN94" i="13"/>
  <c r="CJ65" i="13"/>
  <c r="CL57" i="13"/>
  <c r="CJ60" i="13"/>
  <c r="CM34" i="13"/>
  <c r="CK32" i="13"/>
  <c r="CL66" i="13"/>
  <c r="CM30" i="13"/>
  <c r="CN5" i="13"/>
  <c r="CM5" i="13"/>
  <c r="CL5" i="13"/>
  <c r="CK5" i="13"/>
  <c r="CJ5" i="13"/>
  <c r="CF5" i="13"/>
  <c r="CH5" i="13" s="1"/>
  <c r="CN57" i="13"/>
  <c r="CL74" i="13"/>
  <c r="CJ38"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<sst xmlns="http://schemas.openxmlformats.org/spreadsheetml/2006/main" count="3014" uniqueCount="1280">
  <si>
    <t>Nom_ECHA</t>
  </si>
  <si>
    <t>Acronyme_autre_nom</t>
  </si>
  <si>
    <t>n_cas</t>
  </si>
  <si>
    <t>Formule chimique</t>
  </si>
  <si>
    <t>Formule SMILES</t>
  </si>
  <si>
    <t>Group</t>
  </si>
  <si>
    <t>Subgroup</t>
  </si>
  <si>
    <t>Manufactered in and / or imported to the European Economic Area (ECHA)</t>
  </si>
  <si>
    <t>POP List</t>
  </si>
  <si>
    <t>Priority list EU</t>
  </si>
  <si>
    <t>NORMAN List</t>
  </si>
  <si>
    <t>PNN</t>
  </si>
  <si>
    <t>Watch list</t>
  </si>
  <si>
    <t>PBT/ vPvB</t>
  </si>
  <si>
    <t>Ready biodegradability</t>
  </si>
  <si>
    <t>Perturbateur Endocrinien</t>
  </si>
  <si>
    <t>Phrases H</t>
  </si>
  <si>
    <t>Cancerogene</t>
  </si>
  <si>
    <t>phys6_solubilité_eau</t>
  </si>
  <si>
    <t>phys7_pression_de_vapeur</t>
  </si>
  <si>
    <t>phys8_constante_henry</t>
  </si>
  <si>
    <t>phys11_log_kow</t>
  </si>
  <si>
    <t>phys11_T</t>
  </si>
  <si>
    <t>phys12_log_koc</t>
  </si>
  <si>
    <t>phys12_coefficient_partage_carbone organique_eau_Koc</t>
  </si>
  <si>
    <t>phys20_temperature d'ébullition</t>
  </si>
  <si>
    <t>/</t>
  </si>
  <si>
    <t xml:space="preserve">Brominated </t>
  </si>
  <si>
    <t>Brominated cycloalkanes, alcohols, phosphates, triazine triones, diphenyl ethers and diphenyl alkyls (flame retardants related substances)</t>
  </si>
  <si>
    <t>≥ 100 to &lt; 1 000 tonnes per annum</t>
  </si>
  <si>
    <t>X</t>
  </si>
  <si>
    <t>N/A</t>
  </si>
  <si>
    <t xml:space="preserve">N/A </t>
  </si>
  <si>
    <t>Not Classified</t>
  </si>
  <si>
    <t>0 Pa (25°C)</t>
  </si>
  <si>
    <t>Decabromodiphenyl oxide</t>
  </si>
  <si>
    <t>214-604-9</t>
  </si>
  <si>
    <t>1163-19-5</t>
  </si>
  <si>
    <t xml:space="preserve">	
C12Br10O</t>
  </si>
  <si>
    <t>C1(=C(C(=C(C(=C1Br)Br)Br)Br)Br)OC2=C(C(=C(C(=C2Br)Br)Br)Br)Br</t>
  </si>
  <si>
    <t>NK</t>
  </si>
  <si>
    <t>0 Pa (21°C)</t>
  </si>
  <si>
    <t>530 to 590°C</t>
  </si>
  <si>
    <t>Diphenyl ether, octabromo derivative</t>
  </si>
  <si>
    <t>251-087-9</t>
  </si>
  <si>
    <t>32536-52-0</t>
  </si>
  <si>
    <t>C12H2Br8O</t>
  </si>
  <si>
    <t>C1=C(C(=C(C(=C1Br)Br)Br)Br)OC2=CC(=C(C(=C2Br)Br)Br)Br</t>
  </si>
  <si>
    <t xml:space="preserve">&gt;1 million - 10 million </t>
  </si>
  <si>
    <t>H360Df</t>
  </si>
  <si>
    <t>258°C</t>
  </si>
  <si>
    <t>0 Pa ( 20°C)</t>
  </si>
  <si>
    <t>K</t>
  </si>
  <si>
    <t>≥ 1 to &lt; 10 tonnes per annum</t>
  </si>
  <si>
    <t>C1C[C@H]([C@H](CC[C@H]([C@@H](CC[C@@H]([C@@H]1Br)Br)Br)Br)Br)Br</t>
  </si>
  <si>
    <t>Hexabromocyclododecane (HBCDD)</t>
  </si>
  <si>
    <t>HBCDD</t>
  </si>
  <si>
    <t>247-148-4</t>
  </si>
  <si>
    <t>25637-99-4</t>
  </si>
  <si>
    <t>C12H18Br6</t>
  </si>
  <si>
    <t>C1CCCCC(C(C(CCCC1)(Br)Br)(Br)Br)(Br)Br</t>
  </si>
  <si>
    <t>H410</t>
  </si>
  <si>
    <t>4,6</t>
  </si>
  <si>
    <t>264°C</t>
  </si>
  <si>
    <t>α-Hexabromocyclododecane</t>
  </si>
  <si>
    <t>603-801-9</t>
  </si>
  <si>
    <t>134237-50-6</t>
  </si>
  <si>
    <t>418°C</t>
  </si>
  <si>
    <t>β-Hexabromocyclododecane</t>
  </si>
  <si>
    <t>603-802-4</t>
  </si>
  <si>
    <t>134237-51-7</t>
  </si>
  <si>
    <t>H315 / H319 / H335</t>
  </si>
  <si>
    <t>γ-Hexabromocyclododecane</t>
  </si>
  <si>
    <t>603-804-5</t>
  </si>
  <si>
    <t>134237-52-8</t>
  </si>
  <si>
    <t>C1C[C@H]([C@H](CC[C@@H]([C@@H](CC[C@H]([C@@H]1Br)Br)Br)Br)Br)Br</t>
  </si>
  <si>
    <t>2,2',6,6'-tetrabromo-4,4'-isopropylidenediphenol (TBBPA - tetrabromobisphenol A)</t>
  </si>
  <si>
    <t>201-236-9 (TBBPA)</t>
  </si>
  <si>
    <t>79-94-7</t>
  </si>
  <si>
    <t>C15H12Br4O2</t>
  </si>
  <si>
    <t>CC(C)(C1=CC(Br)=C(O)C(Br)=C1)C1=CC(Br)=C(O)C(Br)=C1</t>
  </si>
  <si>
    <t>TBBPA and its derivates</t>
  </si>
  <si>
    <t>H351 / H400 / H410</t>
  </si>
  <si>
    <t>0,0351 - 1,260 mg/L at 12 - 25 °C</t>
  </si>
  <si>
    <t>0 Pa (20 °C)</t>
  </si>
  <si>
    <t>12 - 25 °C</t>
  </si>
  <si>
    <t>TXP / Fyrquel EHC-N / Syn-O-Ad 8475M</t>
  </si>
  <si>
    <t>246-677-8</t>
  </si>
  <si>
    <t>25155-23-1</t>
  </si>
  <si>
    <t xml:space="preserve">	
C24H27O4P</t>
  </si>
  <si>
    <t>Organophosphorous</t>
  </si>
  <si>
    <t>Triphenylphosphate derivatives</t>
  </si>
  <si>
    <t>H360f / H373 / H400 / H410</t>
  </si>
  <si>
    <t>0 Pa (20°C)</t>
  </si>
  <si>
    <t>204-112-2</t>
  </si>
  <si>
    <t>115-86-6</t>
  </si>
  <si>
    <t>C18H15O4P</t>
  </si>
  <si>
    <t>O=P(OC1=CC=CC=C1)(OC1=CC=CC=C1)OC1=CC=CC=C1</t>
  </si>
  <si>
    <t>≥ 100 tonnes per annum</t>
  </si>
  <si>
    <t>H400 / H410</t>
  </si>
  <si>
    <t>20 °C</t>
  </si>
  <si>
    <t>400°C</t>
  </si>
  <si>
    <t>Phenol, isopropylated, phosphate (3:1)</t>
  </si>
  <si>
    <t>Roflex / Phosflex / Syn-o-ad 9578 / Durad</t>
  </si>
  <si>
    <t>273-066-3</t>
  </si>
  <si>
    <t>68937-41-7</t>
  </si>
  <si>
    <t>C27H33O4P</t>
  </si>
  <si>
    <t>H361/ H373/ H410</t>
  </si>
  <si>
    <t>TCPP</t>
  </si>
  <si>
    <t>237-158-7</t>
  </si>
  <si>
    <t>13674-84-5</t>
  </si>
  <si>
    <t>C9H18Cl3O4P</t>
  </si>
  <si>
    <t>CC(CCl)OP(=O)(OC(C)CCl)OC(C)CCl</t>
  </si>
  <si>
    <t>Chlorinated trialkylphosphates</t>
  </si>
  <si>
    <t>H302</t>
  </si>
  <si>
    <t>1080 mg/L (25 °C)</t>
  </si>
  <si>
    <t>235 to 248 °C</t>
  </si>
  <si>
    <t>0 Pa m³/mol-1 (25°C)</t>
  </si>
  <si>
    <t>0 Pa m³/mol-1</t>
  </si>
  <si>
    <t>Inorganics</t>
  </si>
  <si>
    <t>Antimony compounds</t>
  </si>
  <si>
    <t>231-146-5</t>
  </si>
  <si>
    <t>7440-36-0</t>
  </si>
  <si>
    <t>Sb</t>
  </si>
  <si>
    <t>[Sb]</t>
  </si>
  <si>
    <t>H351 / H373</t>
  </si>
  <si>
    <t>1E+47 mg/L (20°C)</t>
  </si>
  <si>
    <t>&gt;600 °C</t>
  </si>
  <si>
    <t>Sodium hexahydroxoantimonate</t>
  </si>
  <si>
    <t>251-735-0</t>
  </si>
  <si>
    <t>33908-66-6</t>
  </si>
  <si>
    <t>H6NaO6Sb</t>
  </si>
  <si>
    <t>H302 / H332 / H360 / H372 / H411</t>
  </si>
  <si>
    <t>594 mg/L (20 °C)</t>
  </si>
  <si>
    <t>100 °C</t>
  </si>
  <si>
    <t>aluminium</t>
  </si>
  <si>
    <t> 231-072-3</t>
  </si>
  <si>
    <t>7429-90-5</t>
  </si>
  <si>
    <t>Al</t>
  </si>
  <si>
    <t>[AlH3]</t>
  </si>
  <si>
    <t>H261 / H228 / H250</t>
  </si>
  <si>
    <t>1,00E+47 mg/L (20°C)</t>
  </si>
  <si>
    <t>2450 °C</t>
  </si>
  <si>
    <t>Bronopol</t>
  </si>
  <si>
    <t>2-Nitro-2-bromo-1,3-propanediol</t>
  </si>
  <si>
    <t>200-143-0</t>
  </si>
  <si>
    <t>52-51-7</t>
  </si>
  <si>
    <t>C3H6BrNO4</t>
  </si>
  <si>
    <t>OCC(Br)(CO)N(=O)=O</t>
  </si>
  <si>
    <t>H301/ H312/ H315/ H318/ H331/ H335/ H400/ H410</t>
  </si>
  <si>
    <t>304000 mg/L (20°C)</t>
  </si>
  <si>
    <t>268°C</t>
  </si>
  <si>
    <t>Bromoform</t>
  </si>
  <si>
    <t> 200-854-6</t>
  </si>
  <si>
    <t>75-25-2</t>
  </si>
  <si>
    <t>CHBr3</t>
  </si>
  <si>
    <t>C(Br)(Br)Br</t>
  </si>
  <si>
    <t>H226 / H302 / H314 / H319 / H331 / H411</t>
  </si>
  <si>
    <t>3100 mg/L (25°C)</t>
  </si>
  <si>
    <t>719,94 Pa (25°C)</t>
  </si>
  <si>
    <t>41,61 Pa m³/mol-1 (20°C)</t>
  </si>
  <si>
    <t>Nitrogen-containing</t>
  </si>
  <si>
    <t>1,2-Dibromoethane</t>
  </si>
  <si>
    <t xml:space="preserve">
203-444-5</t>
  </si>
  <si>
    <t>106-93-4</t>
  </si>
  <si>
    <t xml:space="preserve">
C2H4Br2</t>
  </si>
  <si>
    <t>BrCCBr</t>
  </si>
  <si>
    <t>H301 / H311 / H315 / H319 / H331 / H335 / H350 / H411</t>
  </si>
  <si>
    <t>131  °C</t>
  </si>
  <si>
    <t>≥ 1 tonnes per annum</t>
  </si>
  <si>
    <t>H351</t>
  </si>
  <si>
    <t>Dimethylbenzyl peroxides</t>
  </si>
  <si>
    <t> 200-543-5</t>
  </si>
  <si>
    <t>62-56-6</t>
  </si>
  <si>
    <t>CH4N2S</t>
  </si>
  <si>
    <t>C(=S)(N)N</t>
  </si>
  <si>
    <t>Thioureas</t>
  </si>
  <si>
    <t>H302 / H351 / H361 / H411</t>
  </si>
  <si>
    <t>142000 mg/L (25°C)</t>
  </si>
  <si>
    <t>0,0000188 Pa (25°C)</t>
  </si>
  <si>
    <t>217°C</t>
  </si>
  <si>
    <t>bis(α,α-dimethylbenzyl) peroxide</t>
  </si>
  <si>
    <t>Perkadox BC-FF</t>
  </si>
  <si>
    <t>201-279-3</t>
  </si>
  <si>
    <t>80-43-3</t>
  </si>
  <si>
    <t>C18H22O2</t>
  </si>
  <si>
    <t>CC(C)(OOC(C)(C)C1=CC=CC=C1)C1=CC=CC=C1</t>
  </si>
  <si>
    <t>H242/ H315 / H319 / H360D / H411</t>
  </si>
  <si>
    <t>100°C</t>
  </si>
  <si>
    <t>Melamine</t>
  </si>
  <si>
    <t>Triaminotriazine</t>
  </si>
  <si>
    <t>203-615-4</t>
  </si>
  <si>
    <t>108-78-1</t>
  </si>
  <si>
    <t>C3H6N6</t>
  </si>
  <si>
    <t>NC1=NC(N)=NC(N)=N1</t>
  </si>
  <si>
    <t>1,3,5-triazine-2,4,6(1H,3H,5H)-trione and 1,3,5-triazine-2,4,6-triamine derivatives</t>
  </si>
  <si>
    <t>H351 / H361 / H373</t>
  </si>
  <si>
    <t>3480 mg/L (20 °C)</t>
  </si>
  <si>
    <t>330 °C</t>
  </si>
  <si>
    <t>316 °C</t>
  </si>
  <si>
    <t>Dimethyl methylphosphonate</t>
  </si>
  <si>
    <t>DMMP</t>
  </si>
  <si>
    <t>212-052-3</t>
  </si>
  <si>
    <t>756-79-6</t>
  </si>
  <si>
    <t>C3H9O3P</t>
  </si>
  <si>
    <t>COP(C)(=O)OC</t>
  </si>
  <si>
    <t>Organic phosphonic acids, salts and esters</t>
  </si>
  <si>
    <t>H318 / H340 / H361f</t>
  </si>
  <si>
    <t>100000 mg/L (21 °C)</t>
  </si>
  <si>
    <t>Phosphorus</t>
  </si>
  <si>
    <t>231-768-7</t>
  </si>
  <si>
    <t>7723-14-0</t>
  </si>
  <si>
    <t>P</t>
  </si>
  <si>
    <t>[P]</t>
  </si>
  <si>
    <t>Phosphorus, its oxides, chlorides, sulfides and salts of phosphoric acids with counterions of low hazard</t>
  </si>
  <si>
    <t>280°C</t>
  </si>
  <si>
    <t>H361</t>
  </si>
  <si>
    <t>H351 / H361f / H373</t>
  </si>
  <si>
    <t>1,3,5-triazine-2,4,6-triamine phosphate</t>
  </si>
  <si>
    <t>Budit 312 / MPT 11 / Melapur MP1.3</t>
  </si>
  <si>
    <t>255-449-7</t>
  </si>
  <si>
    <t>41583-09-9</t>
  </si>
  <si>
    <t xml:space="preserve">	
C3H9N6O4P</t>
  </si>
  <si>
    <t>C1(=NC(=NC(=N1)N)N)N.OP(=O)(O)O</t>
  </si>
  <si>
    <t>3900 mg/L (20 °C)</t>
  </si>
  <si>
    <t>21 at 20°C</t>
  </si>
  <si>
    <t>Thiocarbamide</t>
  </si>
  <si>
    <t>Thiourea</t>
  </si>
  <si>
    <t>Sodium antimonate</t>
  </si>
  <si>
    <t>Antimony</t>
  </si>
  <si>
    <t>Tris(2-chloro-1-methylethyl) phosphate</t>
  </si>
  <si>
    <t>Triphenyl phosphate</t>
  </si>
  <si>
    <t>Trixylyl phosphate</t>
  </si>
  <si>
    <t xml:space="preserve">Gamma-hexabromocyclododeca </t>
  </si>
  <si>
    <t>Beta-hexabromocyclododecane</t>
  </si>
  <si>
    <t>Alpha-hexabromocyclododeca ne (α-HBCDD)</t>
  </si>
  <si>
    <t>OctaBDE</t>
  </si>
  <si>
    <t>DecaBDE / BDE 209</t>
  </si>
  <si>
    <t>≥ 100 to &lt; 1000 tonnes per annum</t>
  </si>
  <si>
    <t>&gt;10000 to 50000</t>
  </si>
  <si>
    <t>≥ 10 000 to &lt; 100000 tonnes per annum</t>
  </si>
  <si>
    <t>≥ 1000 to &lt; 10000 tonnes per annum</t>
  </si>
  <si>
    <t>≥ 1 000 to &lt; 10000 tonnes per annum</t>
  </si>
  <si>
    <t>Not currently being manufactured in and / or imported to the European Economic Area</t>
  </si>
  <si>
    <t> ≥ 10000 to &lt; 100000 tonnes per annum</t>
  </si>
  <si>
    <t>≥ 10000 000 tonnes per annum</t>
  </si>
  <si>
    <t>Intermediate use only</t>
  </si>
  <si>
    <t>≥ 100000 to &lt; 1000000 tonnes per annum</t>
  </si>
  <si>
    <t>0,0001 mg/L (25 °C)</t>
  </si>
  <si>
    <t>0,005 mg/L (25 °C)</t>
  </si>
  <si>
    <t>0,0656 mg/L (20°C)</t>
  </si>
  <si>
    <t>0,1166734 mg/L</t>
  </si>
  <si>
    <t>0,1169 mg/L</t>
  </si>
  <si>
    <t>0,02 mg/L (20°C)</t>
  </si>
  <si>
    <t>1,9 mg/L (20 °C)</t>
  </si>
  <si>
    <t>0,33 mg/L (20°C)</t>
  </si>
  <si>
    <t>3931,3 mg/L - 4154,6 mg/L</t>
  </si>
  <si>
    <t>0,43 mg/L  (20°C)</t>
  </si>
  <si>
    <t>3,3 mg/L (15 °C)</t>
  </si>
  <si>
    <t>0,00000659 Pa (21°C)</t>
  </si>
  <si>
    <t>3,1179e-5 Pa</t>
  </si>
  <si>
    <t>0,001 Pa (25 °C)</t>
  </si>
  <si>
    <t>0,001 Pa (25°C)</t>
  </si>
  <si>
    <t>3266,4 Pa</t>
  </si>
  <si>
    <t>0,005 Pa (20°C)</t>
  </si>
  <si>
    <t>1492,0064 Pa</t>
  </si>
  <si>
    <t>1,28 hPa (25 °C)</t>
  </si>
  <si>
    <t>3,644e+6 Pa</t>
  </si>
  <si>
    <t>0,002 Pa m³/mol (25°C)</t>
  </si>
  <si>
    <t>8,61 Pa·m³/mol</t>
  </si>
  <si>
    <t>312,57975 Pa·m³/mol</t>
  </si>
  <si>
    <t>0,75 Pa m³/mol</t>
  </si>
  <si>
    <t>0,04431525 Pa·m³/mol</t>
  </si>
  <si>
    <t>65,6825 Pa·m³/mol</t>
  </si>
  <si>
    <t>3,19854 Pa·m³/mol</t>
  </si>
  <si>
    <t>0,010844175 Pa·m³/mol</t>
  </si>
  <si>
    <t>0,054 Pa m3/mol</t>
  </si>
  <si>
    <t>0,004 Pa m³/mol (25 °C)</t>
  </si>
  <si>
    <t>0,000000011 Pa m³/mol (25°C)</t>
  </si>
  <si>
    <t>1,8E-09 Pa·m³/mol</t>
  </si>
  <si>
    <t>1,86E-9 Pa·m³/mol (20 °C)</t>
  </si>
  <si>
    <t>6,27</t>
  </si>
  <si>
    <t>6,29</t>
  </si>
  <si>
    <t>5,625</t>
  </si>
  <si>
    <t>6,41</t>
  </si>
  <si>
    <t xml:space="preserve">5,903 - 6,31 </t>
  </si>
  <si>
    <t>6,38</t>
  </si>
  <si>
    <t xml:space="preserve">4,6 </t>
  </si>
  <si>
    <t>4,92</t>
  </si>
  <si>
    <t>2,68</t>
  </si>
  <si>
    <t>-1,38</t>
  </si>
  <si>
    <t>0,15</t>
  </si>
  <si>
    <t>2,4</t>
  </si>
  <si>
    <t>1,96</t>
  </si>
  <si>
    <t>-1,08</t>
  </si>
  <si>
    <t>5,6</t>
  </si>
  <si>
    <t>-1,22</t>
  </si>
  <si>
    <t>-0,610</t>
  </si>
  <si>
    <t>-3,17</t>
  </si>
  <si>
    <t>5,18</t>
  </si>
  <si>
    <t>1950</t>
  </si>
  <si>
    <t>7590</t>
  </si>
  <si>
    <t>416869</t>
  </si>
  <si>
    <t>229</t>
  </si>
  <si>
    <t>45</t>
  </si>
  <si>
    <t>1514</t>
  </si>
  <si>
    <t>10,5</t>
  </si>
  <si>
    <t>121</t>
  </si>
  <si>
    <t>51,3</t>
  </si>
  <si>
    <t>6</t>
  </si>
  <si>
    <t>13,49 at 20°C</t>
  </si>
  <si>
    <t>5,14</t>
  </si>
  <si>
    <t>119941 at 20°C</t>
  </si>
  <si>
    <t>8511 at 20°C</t>
  </si>
  <si>
    <t>9550 at 20°C</t>
  </si>
  <si>
    <t>394,1°C</t>
  </si>
  <si>
    <t>413,85 °C</t>
  </si>
  <si>
    <t>149,2 °C</t>
  </si>
  <si>
    <t>79,5 - 181 °C</t>
  </si>
  <si>
    <t>REACH list (SVHC, Authorisation, Restriction)</t>
  </si>
  <si>
    <t>Solubilité</t>
  </si>
  <si>
    <t>Volatilité</t>
  </si>
  <si>
    <t>Scoring</t>
  </si>
  <si>
    <t>1,28h</t>
  </si>
  <si>
    <t>H350</t>
  </si>
  <si>
    <t>H360</t>
  </si>
  <si>
    <t>H340</t>
  </si>
  <si>
    <t>H362</t>
  </si>
  <si>
    <t>H341</t>
  </si>
  <si>
    <t>H372</t>
  </si>
  <si>
    <t>H373</t>
  </si>
  <si>
    <t>H411</t>
  </si>
  <si>
    <t>Total score A &amp; B</t>
  </si>
  <si>
    <t>Index</t>
  </si>
  <si>
    <t>Mobilité</t>
  </si>
  <si>
    <t>10 000 000</t>
  </si>
  <si>
    <t>10000 000</t>
  </si>
  <si>
    <t>tonnes/an</t>
  </si>
  <si>
    <t>Pression_de_vapeur (Pa)</t>
  </si>
  <si>
    <t>Constante_henry (Pa m3/mol)</t>
  </si>
  <si>
    <t>Résumé</t>
  </si>
  <si>
    <t>EUROFINS</t>
  </si>
  <si>
    <t>SERVACO</t>
  </si>
  <si>
    <t>EUROFINS, SERVACO</t>
  </si>
  <si>
    <t>Production</t>
  </si>
  <si>
    <t>Intermédiaire</t>
  </si>
  <si>
    <t>log Koc</t>
  </si>
  <si>
    <t>Paramètres (éco)toxicologiques</t>
  </si>
  <si>
    <t>Scoring A &amp; B</t>
  </si>
  <si>
    <t>Recommandations</t>
  </si>
  <si>
    <t>Solubilité (mg/L)</t>
  </si>
  <si>
    <t>Masse molaire (g/mol)</t>
  </si>
  <si>
    <t>Biodegradabilité</t>
  </si>
  <si>
    <t>Méthodes analytiques diponibles</t>
  </si>
  <si>
    <t>Pas facilement biodégradable</t>
  </si>
  <si>
    <t>Facilement biodégradable</t>
  </si>
  <si>
    <t>Biodégradable par nature</t>
  </si>
  <si>
    <t>Total scoring (éco)tox</t>
  </si>
  <si>
    <t>Total scoring quantité</t>
  </si>
  <si>
    <t xml:space="preserve"> Production modérée</t>
  </si>
  <si>
    <t xml:space="preserve"> Moyennement mobile (solubilité)</t>
  </si>
  <si>
    <t xml:space="preserve"> Non mobile (log Koc)</t>
  </si>
  <si>
    <t xml:space="preserve"> Non volatil</t>
  </si>
  <si>
    <t xml:space="preserve"> Pas facilement biodégradable</t>
  </si>
  <si>
    <t xml:space="preserve"> Très peu mobile (solubilité)</t>
  </si>
  <si>
    <t xml:space="preserve"> Production très élevée</t>
  </si>
  <si>
    <t xml:space="preserve"> N/A</t>
  </si>
  <si>
    <t xml:space="preserve"> Très faible production</t>
  </si>
  <si>
    <t xml:space="preserve"> Mobile (solubilité)</t>
  </si>
  <si>
    <t xml:space="preserve"> Très mobile (log Koc)</t>
  </si>
  <si>
    <t xml:space="preserve"> Biodégradable par nature</t>
  </si>
  <si>
    <t xml:space="preserve"> Peu mobile (solubilité)</t>
  </si>
  <si>
    <t xml:space="preserve"> Mobile (log Koc)</t>
  </si>
  <si>
    <t xml:space="preserve"> Volatile</t>
  </si>
  <si>
    <t xml:space="preserve"> Faible production</t>
  </si>
  <si>
    <t xml:space="preserve"> Facilement biodégradable</t>
  </si>
  <si>
    <t xml:space="preserve"> Très mobile (solubilité)</t>
  </si>
  <si>
    <t xml:space="preserve"> N/A (log Koc)</t>
  </si>
  <si>
    <t>EUROFINS,  SERVACO</t>
  </si>
  <si>
    <t>Scoring (éco)tox</t>
  </si>
  <si>
    <t>Mobilité (solubilité)</t>
  </si>
  <si>
    <t>Mobilité (log Koc)</t>
  </si>
  <si>
    <t>Biodégradabilité</t>
  </si>
  <si>
    <t>Laboratoires</t>
  </si>
  <si>
    <t>DASHBOARD</t>
  </si>
  <si>
    <t xml:space="preserve"> Production élevée</t>
  </si>
  <si>
    <t>CATEGORIE</t>
  </si>
  <si>
    <t>Ecotox</t>
  </si>
  <si>
    <t>Eco tox + quantité</t>
  </si>
  <si>
    <t>+ labo</t>
  </si>
  <si>
    <t>Résumé (écotox)</t>
  </si>
  <si>
    <t>Résumé (écotox+quantité)</t>
  </si>
  <si>
    <t>VVM</t>
  </si>
  <si>
    <t>Occurrence</t>
  </si>
  <si>
    <t>Bio monitoring “European Human Dashboard » ; VVM ; BXL Envi</t>
  </si>
  <si>
    <t>BXL Envi</t>
  </si>
  <si>
    <t>Biodien</t>
  </si>
  <si>
    <t>Biodien ; Bio monitoring “European Human Dashboard »</t>
  </si>
  <si>
    <t>DAS ; VVM ; Bio monitoring “European Human Dashboard »</t>
  </si>
  <si>
    <t>DAS ; BioPro</t>
  </si>
  <si>
    <t>Biomonitoring</t>
  </si>
  <si>
    <t>score</t>
  </si>
  <si>
    <t>Total scoring</t>
  </si>
  <si>
    <t>avec normalisation</t>
  </si>
  <si>
    <t>Score</t>
  </si>
  <si>
    <t>Catégories</t>
  </si>
  <si>
    <t>Labo</t>
  </si>
  <si>
    <t>Scoring C</t>
  </si>
  <si>
    <t>Catégories (top % des pires substances)</t>
  </si>
  <si>
    <t>Retardateurs de flamme</t>
  </si>
  <si>
    <t>Bisphenols</t>
  </si>
  <si>
    <t>4,4'-isopropylidenediphenol</t>
  </si>
  <si>
    <t>Bisphenol A</t>
  </si>
  <si>
    <t>201-245-8</t>
  </si>
  <si>
    <t>80-05-7</t>
  </si>
  <si>
    <t>4,4'-sulphonyldiphenol</t>
  </si>
  <si>
    <t>Bisphenol S</t>
  </si>
  <si>
    <t>201-250-5</t>
  </si>
  <si>
    <t>80-09-1</t>
  </si>
  <si>
    <t>4,4'-methylenedi-2,6-xylenol</t>
  </si>
  <si>
    <t>Bisphenol F</t>
  </si>
  <si>
    <t>226-378-9</t>
  </si>
  <si>
    <t>5384-21-4</t>
  </si>
  <si>
    <t>Famille</t>
  </si>
  <si>
    <t>C15H16O2</t>
  </si>
  <si>
    <t>CC(C)(C1=CC=C(O)C=C1)C1=CC=C(O)C=C1</t>
  </si>
  <si>
    <t>≥ 1 000 000 tonnes per annum</t>
  </si>
  <si>
    <t>C12H10O4S</t>
  </si>
  <si>
    <t>OC1=CC=C(C=C1)S(=O)(=O)C1=CC=C(O)C=C1</t>
  </si>
  <si>
    <t>≥ 10 000 tonnes per annum</t>
  </si>
  <si>
    <t>C17H20O2</t>
  </si>
  <si>
    <t>Cc1cc(Cc2cc(C)c(c(c2)C)O)cc(c1O)C</t>
  </si>
  <si>
    <t>H317 / H318 / H335 / H360 / H400 / H410</t>
  </si>
  <si>
    <t>H315 / H319 / H335 / H400</t>
  </si>
  <si>
    <t>300 mg/L at 25 °C</t>
  </si>
  <si>
    <t>715 mg/L at 20 °C</t>
  </si>
  <si>
    <t>100 mg/L at 25℃</t>
  </si>
  <si>
    <t>0 Pa at 25 °C</t>
  </si>
  <si>
    <t>6,29E-8 Pa at 25 °C</t>
  </si>
  <si>
    <t>0 Pa at 25℃</t>
  </si>
  <si>
    <t>0 Pa·m³/mol at 25 °C</t>
  </si>
  <si>
    <t>3,59225e-6 Pa·m³/mol</t>
  </si>
  <si>
    <t>0,0922068 Pa·m³/mol</t>
  </si>
  <si>
    <t>21,5 °C</t>
  </si>
  <si>
    <t>23 °C</t>
  </si>
  <si>
    <t>25 °C</t>
  </si>
  <si>
    <t>720 L/kg at 20°C</t>
  </si>
  <si>
    <t>660,7 L/kg</t>
  </si>
  <si>
    <t>6,31e+3 L/kg</t>
  </si>
  <si>
    <t>360° C</t>
  </si>
  <si>
    <t xml:space="preserve">315° C </t>
  </si>
  <si>
    <t xml:space="preserve">240° C </t>
  </si>
  <si>
    <t>Chlorobenzène</t>
  </si>
  <si>
    <t>1,4-Dichlorobenzene</t>
  </si>
  <si>
    <t>1.4 DCB</t>
  </si>
  <si>
    <t>203-400-5</t>
  </si>
  <si>
    <t>106-46-7</t>
  </si>
  <si>
    <t>C6H4Cl2</t>
  </si>
  <si>
    <t>ClC1=CC=C(Cl)C=C1</t>
  </si>
  <si>
    <t>Pentachlorobenzene</t>
  </si>
  <si>
    <t>210-172-0</t>
  </si>
  <si>
    <t>608-93-5</t>
  </si>
  <si>
    <t>C6HCl5</t>
  </si>
  <si>
    <t>C1=CC(=CC=C1Cl)Cl</t>
  </si>
  <si>
    <t>Hexachlorobenzene</t>
  </si>
  <si>
    <t>204-273-9</t>
  </si>
  <si>
    <t>118-74-1</t>
  </si>
  <si>
    <t>C6Cl6</t>
  </si>
  <si>
    <t>c1(c(c(c(Cl)c(c1Cl)Cl)Cl)Cl)Cl</t>
  </si>
  <si>
    <t>Chlorobenzene</t>
  </si>
  <si>
    <t>monochlorobenzene, MCB, chlorbenzol</t>
  </si>
  <si>
    <t>203-628-5</t>
  </si>
  <si>
    <t>108-90-7</t>
  </si>
  <si>
    <t>C6H5Cl</t>
  </si>
  <si>
    <t>C1=CC=C(C=C1)Cl</t>
  </si>
  <si>
    <t>1,2-dichlorobenzene</t>
  </si>
  <si>
    <t>di</t>
  </si>
  <si>
    <t>202-425-9</t>
  </si>
  <si>
    <t>95-50-1</t>
  </si>
  <si>
    <t>C1(C(CCCC1)Cl)Cl</t>
  </si>
  <si>
    <t>1,3-Dichlorobenzene</t>
  </si>
  <si>
    <t>208-792-1</t>
  </si>
  <si>
    <t>541-73-1</t>
  </si>
  <si>
    <t>ClC1=CC(Cl)=CC=C1</t>
  </si>
  <si>
    <t>1,2,3-trichlorobenzene</t>
  </si>
  <si>
    <t>tri</t>
  </si>
  <si>
    <t>201-757-1</t>
  </si>
  <si>
    <t>87-61-6</t>
  </si>
  <si>
    <t>C6H3Cl3</t>
  </si>
  <si>
    <t>C1=CC(=C(C(=C1)Cl)Cl)Cl</t>
  </si>
  <si>
    <t>1,2,4-trichlorobenzene</t>
  </si>
  <si>
    <t>204-428-0</t>
  </si>
  <si>
    <t>120-82-1</t>
  </si>
  <si>
    <t>C1=CC(=C(C=C1Cl)Cl)Cl</t>
  </si>
  <si>
    <t>1,3,5-trichlorobenzene</t>
  </si>
  <si>
    <t>203-608-6</t>
  </si>
  <si>
    <t>108-70-3</t>
  </si>
  <si>
    <t>ClC1=CC(Cl)=CC(Cl)=C1</t>
  </si>
  <si>
    <t>1,2,3,4-tetrachlorobenzene</t>
  </si>
  <si>
    <t>tetra</t>
  </si>
  <si>
    <t>211-214-0</t>
  </si>
  <si>
    <t>634-66-2</t>
  </si>
  <si>
    <t>C6H2Cl4</t>
  </si>
  <si>
    <t>C1=CC(=C(C(=C1Cl)Cl)Cl)Cl</t>
  </si>
  <si>
    <t>1,2,3,5-tetrachlorobenzene</t>
  </si>
  <si>
    <t>211-217-7</t>
  </si>
  <si>
    <t>634-90-2</t>
  </si>
  <si>
    <t>C1=C(C=C(C(=C1Cl)Cl)Cl)Cl</t>
  </si>
  <si>
    <t>1,2,4,5-Tetrachlorobenzene</t>
  </si>
  <si>
    <t>202-466-2</t>
  </si>
  <si>
    <t>95-94-3</t>
  </si>
  <si>
    <t>C1=C(C(=CC(=C1Cl)Cl)Cl)Cl</t>
  </si>
  <si>
    <t>H319 / H351 / H400 / H410</t>
  </si>
  <si>
    <t>H228 / H302 / H400 / H410</t>
  </si>
  <si>
    <t>H350 / 	H372 / H400 / H410</t>
  </si>
  <si>
    <t xml:space="preserve"> ≥ 10 000 to &lt; 100 000 tonnes per annum</t>
  </si>
  <si>
    <t>H226 / H315 / H332 / H411</t>
  </si>
  <si>
    <t>≥ 10 000 to &lt; 100 000 tonnes per annum</t>
  </si>
  <si>
    <t>H302 / 	H315 / H319 / H335 / H400 / H410</t>
  </si>
  <si>
    <t>H302 / H411</t>
  </si>
  <si>
    <t>H317 / H400 / H410</t>
  </si>
  <si>
    <t>H302 / H315 / H400 / H410</t>
  </si>
  <si>
    <t xml:space="preserve">	H411</t>
  </si>
  <si>
    <t>H302 / H400 / 	H410</t>
  </si>
  <si>
    <t xml:space="preserve">
H302</t>
  </si>
  <si>
    <t>51,2 - 82,9 mg/Lat 10 - 25°C</t>
  </si>
  <si>
    <t>0,831 mg/L at 25 °C</t>
  </si>
  <si>
    <t>0,00921 mg/L at 15ºC</t>
  </si>
  <si>
    <t>499 mg/L at 25ºC</t>
  </si>
  <si>
    <t>156 mg/L at 25ºC</t>
  </si>
  <si>
    <t>120 mg/L at 25 °C</t>
  </si>
  <si>
    <t>18 mg/L at 25 °C</t>
  </si>
  <si>
    <t>29 mg/L at 25 °C</t>
  </si>
  <si>
    <t>6,01 mg/L at 25 °C</t>
  </si>
  <si>
    <t>2,11 mg/L at 15 °C</t>
  </si>
  <si>
    <t>2,43 mg/L at 15 °C</t>
  </si>
  <si>
    <t>0,595 mg/L at 25ºC</t>
  </si>
  <si>
    <t>53 Pa at 25 °C</t>
  </si>
  <si>
    <t>~ 2 Pa at 25 °C</t>
  </si>
  <si>
    <t>0,001 Pa at 20ºC</t>
  </si>
  <si>
    <t>15999 Pa at 25ºC</t>
  </si>
  <si>
    <t>181 Pa at 25ºC</t>
  </si>
  <si>
    <t>2,86 hPa at 25 °C</t>
  </si>
  <si>
    <t>28 Pa at 25 °C</t>
  </si>
  <si>
    <t xml:space="preserve">11,96 Pa at 10 °C </t>
  </si>
  <si>
    <t>32 Pa at 25 °C</t>
  </si>
  <si>
    <t>6,99 Pa at 20 °C</t>
  </si>
  <si>
    <t>13,98 Pa at 20 °C</t>
  </si>
  <si>
    <t>0,72 Pa at 25ºC</t>
  </si>
  <si>
    <t>262,4 Pa,m³,mol-1 at 20 °C</t>
  </si>
  <si>
    <t>71,48  Pa,m³,mol-1 at 25 °C</t>
  </si>
  <si>
    <t>58,29  Pa,m³,mol-1 at 25 °C</t>
  </si>
  <si>
    <t>247 Pa,m³,mol-1 at 10ºC</t>
  </si>
  <si>
    <t>165 Pa,m³,mol-1 at 10ºC</t>
  </si>
  <si>
    <t>311 Pa,m³,mol-1 at 25 °C</t>
  </si>
  <si>
    <t>72 Pa,m³,mol-1 at 20 °C</t>
  </si>
  <si>
    <t>131 Pa,m³,mol-1 at 10 °C</t>
  </si>
  <si>
    <t>192,5 Pa,m³,mol-1 at 10 °C</t>
  </si>
  <si>
    <t>58,5 Pa,m³,mol-1 at 20 °C</t>
  </si>
  <si>
    <t>99 Pa,m³,mol-1 at 20 °C</t>
  </si>
  <si>
    <t>101 Pa,m³,mol-1 at 25ºC</t>
  </si>
  <si>
    <t>3,495 at 23,3 °C</t>
  </si>
  <si>
    <t>620 L.kg-1</t>
  </si>
  <si>
    <t>24547 L.kg-1</t>
  </si>
  <si>
    <t>11071 L.kg-1</t>
  </si>
  <si>
    <t>158,855 L.kg-1</t>
  </si>
  <si>
    <t>379 L.kg-1</t>
  </si>
  <si>
    <t>375,3 L.kg-1</t>
  </si>
  <si>
    <t>2211 L.kg-1</t>
  </si>
  <si>
    <t>2066 L.kg-1</t>
  </si>
  <si>
    <t>3274 L.kg-1</t>
  </si>
  <si>
    <t>5070 L.kg-1</t>
  </si>
  <si>
    <t>1585 L.kg-1</t>
  </si>
  <si>
    <t>2589 L.kg-1</t>
  </si>
  <si>
    <t>174,12 °C</t>
  </si>
  <si>
    <t>277 °C</t>
  </si>
  <si>
    <t>325 °C</t>
  </si>
  <si>
    <t>131,5 - 131,7 °C</t>
  </si>
  <si>
    <t>180,5 °C</t>
  </si>
  <si>
    <t>173 °C</t>
  </si>
  <si>
    <t>218,5 °C</t>
  </si>
  <si>
    <t>213,5 °C</t>
  </si>
  <si>
    <t>208 °C</t>
  </si>
  <si>
    <t>254 °C</t>
  </si>
  <si>
    <t>246 °C</t>
  </si>
  <si>
    <t>243-246 °C</t>
  </si>
  <si>
    <t>Dioxines et furanes</t>
  </si>
  <si>
    <t>2.3.7.8 Tétrachlorodibenzodioxine</t>
  </si>
  <si>
    <t>TCDD / dioxine de Seveso</t>
  </si>
  <si>
    <t>217-122-7</t>
  </si>
  <si>
    <t>1746-01-6</t>
  </si>
  <si>
    <t>C12H4Cl4O2</t>
  </si>
  <si>
    <t>ClC=1C=C2C(OC=3C(O2)=CC(Cl)=C(Cl)C3)=CC1Cl</t>
  </si>
  <si>
    <t>Chlorinated Dioxines</t>
  </si>
  <si>
    <t>Chlorinated Dibenzo-p-dioxins</t>
  </si>
  <si>
    <t>H300/ H319/ H400/ H410</t>
  </si>
  <si>
    <t>1.2.3.7.8 Pentachlorodibenzodioxine</t>
  </si>
  <si>
    <t>1.2.3.7.8-PeCDD</t>
  </si>
  <si>
    <t>694-814-9</t>
  </si>
  <si>
    <t>40321-76-4</t>
  </si>
  <si>
    <t>C12H3Cl5O2</t>
  </si>
  <si>
    <t>ClC1=C2C(OC=3C(O2)=CC(Cl)=C(Cl)C3)=CC(Cl)=C1Cl</t>
  </si>
  <si>
    <t>H300/ H413</t>
  </si>
  <si>
    <t>1.2.3.4.7.8 Hexachlorodibenzodioxine</t>
  </si>
  <si>
    <t>1.2.3.4.7.8-HxCDD</t>
  </si>
  <si>
    <t>694-767-4</t>
  </si>
  <si>
    <t>39227-28-6</t>
  </si>
  <si>
    <t>C12H2Cl6O2</t>
  </si>
  <si>
    <t>ClC1=C2C(OC=3C(O2)=CC(Cl)=C(Cl)C3)=C(Cl)C(Cl)=C1Cl</t>
  </si>
  <si>
    <t>H301/ H319/ H335/ H341/ H400/ H410</t>
  </si>
  <si>
    <t>1.2.3.7.8.9 Hexachlorodibenzodioxine</t>
  </si>
  <si>
    <t>1.2.3.7.8.9-HxCDD</t>
  </si>
  <si>
    <t>694-810-7</t>
  </si>
  <si>
    <t>19408-74-3</t>
  </si>
  <si>
    <t>C1=C2C(=C(C(=C1Cl)Cl)Cl)OC3=C(C(=C(C=C3O2)Cl)Cl)Cl</t>
  </si>
  <si>
    <t>H302/ H400/ H410</t>
  </si>
  <si>
    <t xml:space="preserve">1.2.3.6.7.8 Hexachlorodibenzodioxine </t>
  </si>
  <si>
    <t>1.2.3.6.7.8-HxCDD</t>
  </si>
  <si>
    <t>694-811-2</t>
  </si>
  <si>
    <t>57653-85-7</t>
  </si>
  <si>
    <t>C1=C2C(=C(C(=C1Cl)Cl)Cl)OC3=CC(=C(C(=C3O2)Cl)Cl)Cl</t>
  </si>
  <si>
    <t>H301/ H319/ H413</t>
  </si>
  <si>
    <t xml:space="preserve">1.2.3.4.6.7.8 Heptachlorodibenzodioxine </t>
  </si>
  <si>
    <t>1.2.3.4.6.7.8-HpCDD</t>
  </si>
  <si>
    <t>694-835-3</t>
  </si>
  <si>
    <t>35822-46-9</t>
  </si>
  <si>
    <t>C12HCl7O2</t>
  </si>
  <si>
    <t>C1=C2C(=C(C(=C1Cl)Cl)Cl)OC3=C(O2)C(=C(C(=C3Cl)Cl)Cl)Cl</t>
  </si>
  <si>
    <t>H319/ H335/ H341/ H400/ H410</t>
  </si>
  <si>
    <t>1.2.3.4.6.7.8.9 Octachlorodibenzodioxine</t>
  </si>
  <si>
    <t xml:space="preserve"> (OCDD)</t>
  </si>
  <si>
    <t>694-813-3</t>
  </si>
  <si>
    <t>3268-87-9</t>
  </si>
  <si>
    <t>C12Cl8O</t>
  </si>
  <si>
    <t>C12=C(C(=C(C(=C1Cl)Cl)Cl)Cl)OC3=C(O2)C(=C(C(=C3Cl)Cl)Cl)Cl</t>
  </si>
  <si>
    <t>H300/H400/ H410</t>
  </si>
  <si>
    <t xml:space="preserve">2.3.7.8 Tétrachlorodibenzofuranne </t>
  </si>
  <si>
    <t>2.3.7.8-TCDF</t>
  </si>
  <si>
    <t>694-829-0</t>
  </si>
  <si>
    <t>51207-31-9</t>
  </si>
  <si>
    <t>C12H4Cl4O</t>
  </si>
  <si>
    <t>ClC=1C=C2C=3C(OC2=CC1Cl)=CC(Cl)=C(Cl)C3</t>
  </si>
  <si>
    <t>Chlorinated Furanes</t>
  </si>
  <si>
    <t>Chlorodibenzofurans (CDFs)</t>
  </si>
  <si>
    <t>H300/ H310/ H330/ H400/ H411</t>
  </si>
  <si>
    <t xml:space="preserve">2.3.4.7.8 Pentachlorodibenzofuranne </t>
  </si>
  <si>
    <t>2.3.4.7.8-PeCDF</t>
  </si>
  <si>
    <t>694-761-1</t>
  </si>
  <si>
    <t>57117-31-4</t>
  </si>
  <si>
    <t>C33H27N3O6</t>
  </si>
  <si>
    <t>C1=C2C3=CC(=C(C(=C3OC2=CC(=C1Cl)Cl)Cl)Cl)Cl</t>
  </si>
  <si>
    <t>H300/ H319/ H335/ H350/ H373/ H400/ H410</t>
  </si>
  <si>
    <t xml:space="preserve">1.2.3.7.8 Pentachlorodibenzofuranne </t>
  </si>
  <si>
    <t>1.2.3.7.8-PeCDF</t>
  </si>
  <si>
    <t>694-762-7</t>
  </si>
  <si>
    <t>57117-41-6</t>
  </si>
  <si>
    <t>C12H3Cl5O</t>
  </si>
  <si>
    <t>ClC1=C2C=3C(OC2=CC(Cl)=C1Cl)=CC(Cl)=C(Cl)C3</t>
  </si>
  <si>
    <t>1.2.3.4.7.8 Hexachlorodibenzofuranne</t>
  </si>
  <si>
    <t>1.2.3.4.7.8-HxCDF</t>
  </si>
  <si>
    <t>694-812-8</t>
  </si>
  <si>
    <t>70648-26-9</t>
  </si>
  <si>
    <t>C12H2Cl6O</t>
  </si>
  <si>
    <t>ClC1=C2C=3C(OC2=C(Cl)C(Cl)=C1Cl)=CC(Cl)=C(Cl)C3</t>
  </si>
  <si>
    <t>1.2.3.7.8.9 Hexachlorodibenzofuranne</t>
  </si>
  <si>
    <t>1.2.3.7.8.9-HxCDF</t>
  </si>
  <si>
    <t>694-765-3</t>
  </si>
  <si>
    <t>72918-21-9</t>
  </si>
  <si>
    <t>ClC1=C2C=3C(OC2=CC(Cl)=C1Cl)=CC(Cl)=C(Cl)C3Cl</t>
  </si>
  <si>
    <t>1.2.3.6.7.8 Hexachlorodibenzofuranne</t>
  </si>
  <si>
    <t>1.2.3.6.7.8-HxCDF</t>
  </si>
  <si>
    <t>694-837-4</t>
  </si>
  <si>
    <t>57117-44-9</t>
  </si>
  <si>
    <t>ClC1=C2C=3C(OC2=CC(Cl)=C1Cl)=C(Cl)C(Cl)=C(Cl)C3</t>
  </si>
  <si>
    <t>H300/ H310/ H330/ H400/ H410</t>
  </si>
  <si>
    <t>2.3.4.6.7.8 Hexachlorodibenzofuranne</t>
  </si>
  <si>
    <t>2.3.4.6.7.8-HxCDF</t>
  </si>
  <si>
    <t>694-831-1</t>
  </si>
  <si>
    <t>60851-34-5</t>
  </si>
  <si>
    <t>ClC1=C2C(C=3C(O2)=C(Cl)C(Cl)=C(Cl)C3)=CC(Cl)=C1Cl</t>
  </si>
  <si>
    <t>1.2.3.4.6.7.8 Heptachlorodibenzofuranne</t>
  </si>
  <si>
    <t>1.2.3.4.6.7.8-HpCDF</t>
  </si>
  <si>
    <t>694-815-4</t>
  </si>
  <si>
    <t>67562-39-4</t>
  </si>
  <si>
    <t>C12HCl7O</t>
  </si>
  <si>
    <t>ClC1=C2C=3C(OC2=C(Cl)C(Cl)=C1Cl)=C(Cl)C(Cl)=C(Cl)C3</t>
  </si>
  <si>
    <t>H301/ H319/ H414</t>
  </si>
  <si>
    <t xml:space="preserve">1.2.3.4.7.8.9 Heptachlorodibenzofuranne </t>
  </si>
  <si>
    <t>1.2.3.4.7.8.9-HpCDF</t>
  </si>
  <si>
    <t>694-836-9</t>
  </si>
  <si>
    <t>55673-89-7</t>
  </si>
  <si>
    <t>ClC1=C2C=3C(OC2=C(Cl)C(Cl)=C1Cl)=CC(Cl)=C(Cl)C3Cl</t>
  </si>
  <si>
    <t>H300/ H310/ H330/ H400 /H410</t>
  </si>
  <si>
    <t>1.2.3.4.6.7.8.9 Octachlorodibenzofuranne</t>
  </si>
  <si>
    <t>(OCDF)</t>
  </si>
  <si>
    <t>694-806-5</t>
  </si>
  <si>
    <t>39001-02-0</t>
  </si>
  <si>
    <t>C12=C(C(=C(C(=C1Cl)Cl)Cl)Cl)OC3=C2C(=C(C(=C3Cl)Cl)Cl)Cl</t>
  </si>
  <si>
    <t>H300/ H310/ H330/ H400 /H411</t>
  </si>
  <si>
    <t>2,00E-04 mg/L at 25 °C</t>
  </si>
  <si>
    <t>9,82E-5 mg/L</t>
  </si>
  <si>
    <t>4,0E-6 mg/L at 20 °C</t>
  </si>
  <si>
    <t>0,000634 mg/L at 25 °C</t>
  </si>
  <si>
    <t>8,75E-4 mg/</t>
  </si>
  <si>
    <t xml:space="preserve"> 1,9E-3 mg/L</t>
  </si>
  <si>
    <t>4,00E-07 mg/L</t>
  </si>
  <si>
    <t>3,51E-3 mg/L at 25 °C</t>
  </si>
  <si>
    <t>0,000235 mg/L at 23 °C</t>
  </si>
  <si>
    <t>0,0679 mg/L</t>
  </si>
  <si>
    <t>8,2164E-6 mg/L</t>
  </si>
  <si>
    <t>0,000859 mg/L</t>
  </si>
  <si>
    <t>0,000515 mg/L</t>
  </si>
  <si>
    <t>0,00156 mg/L</t>
  </si>
  <si>
    <t>1,085E-5 mg/L</t>
  </si>
  <si>
    <t>2,58E-4 mg/L</t>
  </si>
  <si>
    <t>1,1049274E-06 mg/l to 1,1468274E-06 mg/l</t>
  </si>
  <si>
    <t>0,0000002 Pa</t>
  </si>
  <si>
    <t>5,80E-8 Pa</t>
  </si>
  <si>
    <t>5,863E-9 Pa at 25 °C</t>
  </si>
  <si>
    <t>1,38E-6 Pa at 25 °C</t>
  </si>
  <si>
    <t>4,79392E-9 Pa at 25 °C</t>
  </si>
  <si>
    <t>4,41E-9 Pa at 25 °C</t>
  </si>
  <si>
    <t>1,10E-10 Pa at 25 °C</t>
  </si>
  <si>
    <t>0,0002043216 Pa</t>
  </si>
  <si>
    <t>4,66717E-5 Pa</t>
  </si>
  <si>
    <t>6,17E-5 Pa</t>
  </si>
  <si>
    <t>2,8538608E-7 Pa</t>
  </si>
  <si>
    <t>4,99E-6 Pa</t>
  </si>
  <si>
    <t>2,17E-5 Pa</t>
  </si>
  <si>
    <t>7,59E-6 Pa</t>
  </si>
  <si>
    <t>2,24E-6 Pa</t>
  </si>
  <si>
    <t>1,486E-8 Pa</t>
  </si>
  <si>
    <t>5,004825E-10 Pa</t>
  </si>
  <si>
    <t>0,839 Pa·m³/mol at 25 °C</t>
  </si>
  <si>
    <t>1,48 Pa·m³/mol</t>
  </si>
  <si>
    <t>0,332 Pa.m³/mol at 25 °C</t>
  </si>
  <si>
    <t>7,01178 Pa·m³/mol</t>
  </si>
  <si>
    <t xml:space="preserve">0,1925 Pa·m³/mol at 25 °C </t>
  </si>
  <si>
    <t>0,133 Pa·m³·mol at 25 °C</t>
  </si>
  <si>
    <t>0,679 Pa·m³·mol at 25 °C</t>
  </si>
  <si>
    <t>1,50 Pa·m³/mol</t>
  </si>
  <si>
    <t xml:space="preserve">0,5063825 Pa·m³/mol at 25 °C </t>
  </si>
  <si>
    <t>1,91 Pa⋅m³/mol</t>
  </si>
  <si>
    <t>36,7245 Pa·m³/mol</t>
  </si>
  <si>
    <t>0,955 Pa·m³/mol</t>
  </si>
  <si>
    <t>0,505 Pa·m³/mol</t>
  </si>
  <si>
    <t>1,78 Pa·m³/mol</t>
  </si>
  <si>
    <t>106,39125 Pa·m³/mol</t>
  </si>
  <si>
    <t>1 Pa·m³/mol</t>
  </si>
  <si>
    <t>519,34625 Pa·m³/mol</t>
  </si>
  <si>
    <t>6,8</t>
  </si>
  <si>
    <t>7,50</t>
  </si>
  <si>
    <t>7,8</t>
  </si>
  <si>
    <t>7,63</t>
  </si>
  <si>
    <t xml:space="preserve">8,21 </t>
  </si>
  <si>
    <t>8</t>
  </si>
  <si>
    <t>8,20</t>
  </si>
  <si>
    <t>6,53</t>
  </si>
  <si>
    <t>6,92</t>
  </si>
  <si>
    <t>6,99</t>
  </si>
  <si>
    <t>7,52</t>
  </si>
  <si>
    <t>7,00</t>
  </si>
  <si>
    <t>7,82</t>
  </si>
  <si>
    <t>7,92</t>
  </si>
  <si>
    <t>6,90</t>
  </si>
  <si>
    <t>8,60</t>
  </si>
  <si>
    <t>430527 L.kg-1</t>
  </si>
  <si>
    <t>7,50e+5 L.kg-1</t>
  </si>
  <si>
    <t>9,90e+5 L.kg-1</t>
  </si>
  <si>
    <t>1,07e+6 L.kg-1</t>
  </si>
  <si>
    <t>1,74e+6 L.kg-1</t>
  </si>
  <si>
    <t>1,70e+6 L.kg-1</t>
  </si>
  <si>
    <t>5,55e+5 L.kg-1</t>
  </si>
  <si>
    <t>2,41e+5 L.kg-1</t>
  </si>
  <si>
    <t>6,21e+5 L.kg-1</t>
  </si>
  <si>
    <t>6,49e+5 L.kg-1</t>
  </si>
  <si>
    <t>9,60e+5 L.kg-1</t>
  </si>
  <si>
    <t>1,01e+6 L.kg-1</t>
  </si>
  <si>
    <t>2,86e+5 L.kg-1</t>
  </si>
  <si>
    <t>8,07e+5 L.kg-1</t>
  </si>
  <si>
    <t>9,24e+5 L.kg-1</t>
  </si>
  <si>
    <t>498,9°C</t>
  </si>
  <si>
    <t>407°C</t>
  </si>
  <si>
    <t>423°C</t>
  </si>
  <si>
    <t>487,7°C</t>
  </si>
  <si>
    <t>507,2°C</t>
  </si>
  <si>
    <t>510°C</t>
  </si>
  <si>
    <t>438,3°C</t>
  </si>
  <si>
    <t>413°C</t>
  </si>
  <si>
    <t>464,7°C</t>
  </si>
  <si>
    <t>435°C</t>
  </si>
  <si>
    <t>5464,7°C</t>
  </si>
  <si>
    <t>476°C</t>
  </si>
  <si>
    <t>Hexachlorobuta-1,3-diene</t>
  </si>
  <si>
    <t>HCBD</t>
  </si>
  <si>
    <t>201-765-5</t>
  </si>
  <si>
    <t>87-68-3</t>
  </si>
  <si>
    <t>C4Cl6</t>
  </si>
  <si>
    <t>C(=C(Cl)Cl)(C(=C(Cl)Cl)Cl)Cl</t>
  </si>
  <si>
    <t>No REACH registration</t>
  </si>
  <si>
    <t>H301/ H310/ H315/ H318/ H351/ H400/ H410</t>
  </si>
  <si>
    <t xml:space="preserve"> 3,20 mg/l at 25 °C</t>
  </si>
  <si>
    <t>29,3 Pa at 20 °C</t>
  </si>
  <si>
    <t>1043,65 Pa.m³.mol-1 at 20 °C</t>
  </si>
  <si>
    <t>7,88e+3 L/kg</t>
  </si>
  <si>
    <t>212 °C</t>
  </si>
  <si>
    <t>2,4,4'-Trichlorobiphényle</t>
  </si>
  <si>
    <t>PCB28</t>
  </si>
  <si>
    <t>230-293-2</t>
  </si>
  <si>
    <t>7012-37-5</t>
  </si>
  <si>
    <t>C12H7Cl3</t>
  </si>
  <si>
    <t>C1=CC(=CC=C1C2=C(C=C(C=C2)Cl)Cl)Cl</t>
  </si>
  <si>
    <t>non dioxin-like</t>
  </si>
  <si>
    <t>2,2',5,5'-Tétrachlorobiphényle</t>
  </si>
  <si>
    <t xml:space="preserve">PCB 52 </t>
  </si>
  <si>
    <t>621-615-6</t>
  </si>
  <si>
    <t>35693-99-3</t>
  </si>
  <si>
    <t>C12H6Cl4</t>
  </si>
  <si>
    <t>C1=CC(=C(C=C1Cl)C2=C(C=CC(=C2)Cl)Cl)Cl</t>
  </si>
  <si>
    <t>2,2',4,5,5'-Pentachlorobiphényle</t>
  </si>
  <si>
    <t>PCB 101</t>
  </si>
  <si>
    <t>621-393-0</t>
  </si>
  <si>
    <t>37680-73-2</t>
  </si>
  <si>
    <t>C12H5Cl5</t>
  </si>
  <si>
    <t>C1=CC(=C(C=C1Cl)C2=CC(=C(C=C2Cl)Cl)Cl)Cl</t>
  </si>
  <si>
    <t>2,3',4,4',5-Pentachlorobiphényle</t>
  </si>
  <si>
    <t>PCB 118</t>
  </si>
  <si>
    <t>621-375-2</t>
  </si>
  <si>
    <t>31508-00-6</t>
  </si>
  <si>
    <t>C1=CC(=C(C=C1C2=CC(=C(C=C2Cl)Cl)Cl)Cl)Cl</t>
  </si>
  <si>
    <t>dioxin-like</t>
  </si>
  <si>
    <t>2,2',3,4,4',5'-Hexachlorobiphényle</t>
  </si>
  <si>
    <t>PCB138</t>
  </si>
  <si>
    <t>621-377-3</t>
  </si>
  <si>
    <t>35065-28-2</t>
  </si>
  <si>
    <t>C12H4Cl6</t>
  </si>
  <si>
    <t>C1=CC(=C(C(=C1C2=CC(=C(C=C2Cl)Cl)Cl)Cl)Cl)Cl</t>
  </si>
  <si>
    <t>2,2',4,4',5,5'-Hexachlorobiphényle</t>
  </si>
  <si>
    <t>PCB 153</t>
  </si>
  <si>
    <t>621-381-5</t>
  </si>
  <si>
    <t>35065-27-1</t>
  </si>
  <si>
    <t>C1=C(C(=CC(=C1Cl)Cl)Cl)C2=CC(=C(C=C2Cl)Cl)Cl</t>
  </si>
  <si>
    <t>2,2',3,4,4',5,5'-Heptachlorobiphényle</t>
  </si>
  <si>
    <t>PCB 180</t>
  </si>
  <si>
    <t>621-378-9</t>
  </si>
  <si>
    <t>35065-29-3</t>
  </si>
  <si>
    <t>C12H3Cl7</t>
  </si>
  <si>
    <t>C1=C(C(=CC(=C1Cl)Cl)Cl)C2=CC(=C(C(=C2Cl)Cl)Cl)Cl</t>
  </si>
  <si>
    <t>3,3',4,4'-tetrachloro-1,1'-biphenyl</t>
  </si>
  <si>
    <t>PCB 77</t>
  </si>
  <si>
    <t>634-804-3</t>
  </si>
  <si>
    <t>32598-13-3</t>
  </si>
  <si>
    <t>C1=CC(=C(C=C1C2=CC(=C(C=C2)Cl)Cl)Cl)Cl</t>
  </si>
  <si>
    <t>3,4,4',5-Tétrachlorobiphényle</t>
  </si>
  <si>
    <t>PCB 81</t>
  </si>
  <si>
    <t>690-324-4</t>
  </si>
  <si>
    <t>70362-50-4</t>
  </si>
  <si>
    <t xml:space="preserve">	
C12H6Cl4</t>
  </si>
  <si>
    <t>C1=CC(=CC=C1C2=CC(=C(C(=C2)Cl)Cl)Cl)Cl</t>
  </si>
  <si>
    <t>2,3,3',4,4'-Pentachlorobiphenyl</t>
  </si>
  <si>
    <t>PCB 105</t>
  </si>
  <si>
    <t>634-808-5</t>
  </si>
  <si>
    <t>32598-14-4</t>
  </si>
  <si>
    <t>C1=CC(=C(C=C1C2=C(C(=C(C=C2)Cl)Cl)Cl)Cl)Cl</t>
  </si>
  <si>
    <t>2,3,4,4'5-Pentachlorobiphenyl</t>
  </si>
  <si>
    <t>PCB 114</t>
  </si>
  <si>
    <t>690-296-3</t>
  </si>
  <si>
    <t>74472-37-0</t>
  </si>
  <si>
    <t>C1=CC(=CC=C1C2=CC(=C(C(=C2Cl)Cl)Cl)Cl)Cl</t>
  </si>
  <si>
    <t>2,3',4,4',5'-Pentachlorobiphenyl</t>
  </si>
  <si>
    <t>PCB 123</t>
  </si>
  <si>
    <t>690-284-8</t>
  </si>
  <si>
    <t>65510-44-3</t>
  </si>
  <si>
    <t xml:space="preserve">	
C12H5Cl5</t>
  </si>
  <si>
    <t>C1=CC(=C(C=C1Cl)Cl)C2=CC(=C(C(=C2)Cl)Cl)Cl</t>
  </si>
  <si>
    <t>1,2,3-trichloro-5-(3,4-dichlorophenyl)benzene</t>
  </si>
  <si>
    <t>PCB 126</t>
  </si>
  <si>
    <t>682-346-8</t>
  </si>
  <si>
    <t>57465-28-8</t>
  </si>
  <si>
    <t>C1=CC(=C(C=C1C2=CC(=C(C(=C2)Cl)Cl)Cl)Cl)Cl</t>
  </si>
  <si>
    <t>2,3,3',4,4',5-Hexachlorobiphényle</t>
  </si>
  <si>
    <t>PCB 156</t>
  </si>
  <si>
    <t>620-601-7</t>
  </si>
  <si>
    <t>38380-08-4</t>
  </si>
  <si>
    <t xml:space="preserve">	
C12H4Cl6</t>
  </si>
  <si>
    <t>C1=CC(=C(C=C1C2=CC(=C(C(=C2Cl)Cl)Cl)Cl)Cl)Cl</t>
  </si>
  <si>
    <t>2,3,3',4,4',5'-Hexachlorobiphényle</t>
  </si>
  <si>
    <t>PCB 157</t>
  </si>
  <si>
    <t>690-279-0</t>
  </si>
  <si>
    <t>69782-90-7</t>
  </si>
  <si>
    <t>C1=CC(=C(C(=C1C2=CC(=C(C(=C2)Cl)Cl)Cl)Cl)Cl)Cl</t>
  </si>
  <si>
    <t>1,2,3-trichloro-5-(2,4,5-trichlorophenyl)benzene</t>
  </si>
  <si>
    <t>PCB 167</t>
  </si>
  <si>
    <t>690-199-6</t>
  </si>
  <si>
    <t>52663-72-6</t>
  </si>
  <si>
    <t>C1=C(C=C(C(=C1Cl)Cl)Cl)C2=CC(=C(C=C2Cl)Cl)Cl</t>
  </si>
  <si>
    <t>3,4,5,3',4',5'-Hexachlorobiphenyl</t>
  </si>
  <si>
    <t>PCB 169</t>
  </si>
  <si>
    <t>682-345-2</t>
  </si>
  <si>
    <t>32774-16-6</t>
  </si>
  <si>
    <t>C1=C(C=C(C(=C1Cl)Cl)Cl)C2=CC(=C(C(=C2)Cl)Cl)Cl</t>
  </si>
  <si>
    <t>1,2,3,4-tetrachloro-5-(3,4,5-trichlorophenyl)benzene</t>
  </si>
  <si>
    <t>PCB 189</t>
  </si>
  <si>
    <t>690-157-7</t>
  </si>
  <si>
    <t>39635-31-9</t>
  </si>
  <si>
    <t>C1=C(C=C(C(=C1Cl)Cl)Cl)C2=CC(=C(C(=C2Cl)Cl)Cl)Cl</t>
  </si>
  <si>
    <t>PCB</t>
  </si>
  <si>
    <t>H373 / H400 / H410</t>
  </si>
  <si>
    <t>H302 / H373 / H400 / H410</t>
  </si>
  <si>
    <t>0,085 mg/L at 20 °C</t>
  </si>
  <si>
    <t>0,006 mg/L at 25 °C</t>
  </si>
  <si>
    <t>0,00424mg/L at 25 °C</t>
  </si>
  <si>
    <t>0,00207 mg/L at 25 °C</t>
  </si>
  <si>
    <t>0,00729 mg/L at 25 °C</t>
  </si>
  <si>
    <t>0,00845 mg/L at 25 °C</t>
  </si>
  <si>
    <t>0,00385 mg/L at 25 °C</t>
  </si>
  <si>
    <t>0,175 mg/L at 25 °C</t>
  </si>
  <si>
    <t>0,0014 mg/L at 25 °C</t>
  </si>
  <si>
    <t>0,00236 mg/L at 25 °C</t>
  </si>
  <si>
    <t>0,000732 mg/L at 25 °C</t>
  </si>
  <si>
    <t>0,000299 mg/L at 25 °C</t>
  </si>
  <si>
    <t>0,000305 mg/L at 25 °C</t>
  </si>
  <si>
    <t>0,000513 mg/L at 25 °C</t>
  </si>
  <si>
    <t>0,000084 mg/L at 25 °C</t>
  </si>
  <si>
    <t>0,000442 mg/L at 5 °C</t>
  </si>
  <si>
    <t>0,000053 mg/L at 5 °C</t>
  </si>
  <si>
    <t>0,000029 mg/L at 5 °C</t>
  </si>
  <si>
    <t>3,47E-02 Pa at 25°C</t>
  </si>
  <si>
    <t>2,53E-03 Pa at 25 °c</t>
  </si>
  <si>
    <t>0,00109 Pa at 25ºC</t>
  </si>
  <si>
    <t>3,54E-04 Pa at 20°C</t>
  </si>
  <si>
    <t>1,47E-04 Pa at 20°C</t>
  </si>
  <si>
    <t>3,63E-04 Pa at20 °c</t>
  </si>
  <si>
    <t>3,14E-05 Pa at 20°C</t>
  </si>
  <si>
    <t>0,0014 Pa at 25°C</t>
  </si>
  <si>
    <t>0,00165 Pa at 25°C</t>
  </si>
  <si>
    <t>0,00124 Pa at 25°C</t>
  </si>
  <si>
    <t>0,00136 Pa at 25°C</t>
  </si>
  <si>
    <t>0,0013 Pa at 25°C</t>
  </si>
  <si>
    <t>3,05E-04 Pa at 25°C</t>
  </si>
  <si>
    <t>0,000215 Pa at 25°C</t>
  </si>
  <si>
    <t>0,00809 Pa at 25°C</t>
  </si>
  <si>
    <t>0,00212 Pa at 25°C</t>
  </si>
  <si>
    <t>0,00000108 Pa at 25°C</t>
  </si>
  <si>
    <t>0,00144 Pa at 25°C</t>
  </si>
  <si>
    <t>1,906E+01 at 10°C</t>
  </si>
  <si>
    <t>1,613E+01 at 10°C</t>
  </si>
  <si>
    <t>2,22E+01 at 11°C</t>
  </si>
  <si>
    <t>1,281E+01 at 11°C</t>
  </si>
  <si>
    <t>7,50E+00 at 11°C</t>
  </si>
  <si>
    <t>1,352E+01 at 11°C</t>
  </si>
  <si>
    <t>2,025E+00 at 11°C</t>
  </si>
  <si>
    <t>4,37 Pa m3/mol at 25°C</t>
  </si>
  <si>
    <t>5,2 Pa m3/mol at 25°C</t>
  </si>
  <si>
    <t>5,68 Pa m3/mol at 25°C</t>
  </si>
  <si>
    <t>42,560 Pa m3/mol at 25°C</t>
  </si>
  <si>
    <t>8,805 Pa m3/mol at 25°C</t>
  </si>
  <si>
    <t>2,776 Pa m3/mol at 25°C</t>
  </si>
  <si>
    <t>88,14 Pa m3/mol at 25°C</t>
  </si>
  <si>
    <t>3,30 Pa m3/mol at 25°C</t>
  </si>
  <si>
    <t>4,47 Pa m3/mol at 25°C</t>
  </si>
  <si>
    <t>0,85 Pa  m3/mol at 25°C</t>
  </si>
  <si>
    <t>0,903 Pa  m3/mol at 25°C</t>
  </si>
  <si>
    <t>6,30 to 6,98</t>
  </si>
  <si>
    <t>47700 L.kg-1</t>
  </si>
  <si>
    <t>177828 L.kg-1</t>
  </si>
  <si>
    <t>165958.6907 L.kg-1</t>
  </si>
  <si>
    <t>814131 L.kg-1</t>
  </si>
  <si>
    <t>2726999 L.kg-1</t>
  </si>
  <si>
    <t>2188066. L.kg-1</t>
  </si>
  <si>
    <t>4730474 L.kg-1</t>
  </si>
  <si>
    <t>69800. L.kg-1</t>
  </si>
  <si>
    <t xml:space="preserve">78100 L.kg-1	</t>
  </si>
  <si>
    <t>148000. L.kg-1</t>
  </si>
  <si>
    <t>130500 L.kg-1</t>
  </si>
  <si>
    <t xml:space="preserve">130500 L.kg-1	</t>
  </si>
  <si>
    <t>157000. L.kg-1</t>
  </si>
  <si>
    <t>417000 L.kg-1</t>
  </si>
  <si>
    <t>213600 L.kg-1</t>
  </si>
  <si>
    <t xml:space="preserve">209300 L.kg-1	</t>
  </si>
  <si>
    <t>209300 L.kg-1</t>
  </si>
  <si>
    <t xml:space="preserve">349700 L.kg-1	</t>
  </si>
  <si>
    <t>336 °C</t>
  </si>
  <si>
    <t>352 °C</t>
  </si>
  <si>
    <t>373 °C</t>
  </si>
  <si>
    <t>378 °C</t>
  </si>
  <si>
    <t>398 °C</t>
  </si>
  <si>
    <t>395 °C</t>
  </si>
  <si>
    <t>420 °C</t>
  </si>
  <si>
    <t>364 °C</t>
  </si>
  <si>
    <t>365 °C</t>
  </si>
  <si>
    <t>379 °C</t>
  </si>
  <si>
    <t>397 °C</t>
  </si>
  <si>
    <t>396 °C</t>
  </si>
  <si>
    <t>391 °C</t>
  </si>
  <si>
    <t xml:space="preserve">423 °C </t>
  </si>
  <si>
    <t>Plastifiants</t>
  </si>
  <si>
    <t>Bis(2-ethylhexyl) phthalate</t>
  </si>
  <si>
    <t>DEHP (DOP)</t>
  </si>
  <si>
    <t>204-211-0</t>
  </si>
  <si>
    <t>117-81-7</t>
  </si>
  <si>
    <t>C24H38O4</t>
  </si>
  <si>
    <t>CCCCC(CC)COC(=O)C1=C(C=CC=C1)C(=O)OCC(CC)CCCC</t>
  </si>
  <si>
    <t>Phtalate de benzyle et de butyle</t>
  </si>
  <si>
    <t>BBP</t>
  </si>
  <si>
    <t>201-622-7</t>
  </si>
  <si>
    <t>85-68-7</t>
  </si>
  <si>
    <t>C19H20O4</t>
  </si>
  <si>
    <t>CCCCOC(=O)C1=C(C=CC=C1)C(=O)OCC1=CC=CC=C1</t>
  </si>
  <si>
    <t>Dibutyl phthalate</t>
  </si>
  <si>
    <t>(DBP)</t>
  </si>
  <si>
    <t>201-557-4</t>
  </si>
  <si>
    <t>84-74-2</t>
  </si>
  <si>
    <t>C16H22O4</t>
  </si>
  <si>
    <t>CCCCOC(=O)C1=C(C=CC=C1)C(=O)OCCCC</t>
  </si>
  <si>
    <t>Phtalate de diisobutyle</t>
  </si>
  <si>
    <t>DIBP</t>
  </si>
  <si>
    <t>201-553-2</t>
  </si>
  <si>
    <t>84-69-5</t>
  </si>
  <si>
    <t>CC(C)COC(=O)C1=C(C=CC=C1)C(=O)OCC(C)C</t>
  </si>
  <si>
    <t>Dimethyl phthalate</t>
  </si>
  <si>
    <t>DMP</t>
  </si>
  <si>
    <t>205-011-6</t>
  </si>
  <si>
    <t>131-11-3</t>
  </si>
  <si>
    <t>C10H10O4</t>
  </si>
  <si>
    <t>COC(=O)C1=CC=CC=C1C(=O)OC</t>
  </si>
  <si>
    <t>Diethyl phthalate</t>
  </si>
  <si>
    <t>DEP</t>
  </si>
  <si>
    <t>201-550-6</t>
  </si>
  <si>
    <t>84-66-2</t>
  </si>
  <si>
    <t>C12H14O4</t>
  </si>
  <si>
    <t>CCOC(=O)C1=C(C=CC=C1)C(=O)OCC</t>
  </si>
  <si>
    <t>Dioctyl phthalate</t>
  </si>
  <si>
    <t>DnOP</t>
  </si>
  <si>
    <t>204-214-7</t>
  </si>
  <si>
    <t>117-84-0</t>
  </si>
  <si>
    <t>CCCCCCCCOC(=O)c1ccccc1C(=O)OCCCCCCCC</t>
  </si>
  <si>
    <t>Phtalate de dicyclohexyle</t>
  </si>
  <si>
    <t>DCHP/DDP</t>
  </si>
  <si>
    <t>201-545-9</t>
  </si>
  <si>
    <t>84-61-7</t>
  </si>
  <si>
    <t>C20H26O4</t>
  </si>
  <si>
    <t>O=C(OC1CCCCC1)C1=C(C=CC=C1)C(=O)OC1CCCCC1</t>
  </si>
  <si>
    <t>C12H27O4P</t>
  </si>
  <si>
    <t>Tributyl phosphate</t>
  </si>
  <si>
    <t>TBP</t>
  </si>
  <si>
    <t>204-800-2</t>
  </si>
  <si>
    <t>126-73-8</t>
  </si>
  <si>
    <t>CCCCOP(=O)(OCCCC)OCCCC</t>
  </si>
  <si>
    <t>Naphtalène</t>
  </si>
  <si>
    <t>NAP</t>
  </si>
  <si>
    <t>202-049-5</t>
  </si>
  <si>
    <t>91-20-3</t>
  </si>
  <si>
    <t>C10H8</t>
  </si>
  <si>
    <t>C1=CC2=C(C=C1)C=CC=C2</t>
  </si>
  <si>
    <t>Nonylphenol *1</t>
  </si>
  <si>
    <t>2-Nonylphenol</t>
  </si>
  <si>
    <t>246-672-0</t>
  </si>
  <si>
    <t>25154-52-3</t>
  </si>
  <si>
    <t>C15H24O</t>
  </si>
  <si>
    <t>CCCCCCCCCC1=CC=CC=C1O</t>
  </si>
  <si>
    <t xml:space="preserve"> ≥ 10 000 to &lt; 100 000 tonnes per annum.</t>
  </si>
  <si>
    <t>≥ 1 000 tonnes per annum</t>
  </si>
  <si>
    <t>≥ 100 000 to &lt; 1 000 000 tonnes per annum</t>
  </si>
  <si>
    <t xml:space="preserve">	H360</t>
  </si>
  <si>
    <t>H360 / H410</t>
  </si>
  <si>
    <t>H360Df / H400</t>
  </si>
  <si>
    <t>H317 / H360 / H411</t>
  </si>
  <si>
    <t>H302 / H315 / H351</t>
  </si>
  <si>
    <t>H302 / H351 / H400 / H410</t>
  </si>
  <si>
    <t>H302 / H314 / H361fd / H400 / H410</t>
  </si>
  <si>
    <t>Mobile</t>
  </si>
  <si>
    <t>Production très élevée</t>
  </si>
  <si>
    <t>Production élevée</t>
  </si>
  <si>
    <t>Production modérée</t>
  </si>
  <si>
    <t>Très faible production</t>
  </si>
  <si>
    <t>Moyennement mobile</t>
  </si>
  <si>
    <t>Très peu mobile</t>
  </si>
  <si>
    <t>Peu mobile</t>
  </si>
  <si>
    <t>Très mobile</t>
  </si>
  <si>
    <t>Non mobile</t>
  </si>
  <si>
    <t>Non volatil</t>
  </si>
  <si>
    <t>Hexachlorobutadiène</t>
  </si>
  <si>
    <t xml:space="preserve">organohalogens </t>
  </si>
  <si>
    <t>0.003</t>
  </si>
  <si>
    <t>2.69</t>
  </si>
  <si>
    <t>10 - 11.4</t>
  </si>
  <si>
    <t>6.2</t>
  </si>
  <si>
    <t>0.022</t>
  </si>
  <si>
    <t>0.28</t>
  </si>
  <si>
    <t>31.7</t>
  </si>
  <si>
    <t>35.7</t>
  </si>
  <si>
    <t>0.0010999</t>
  </si>
  <si>
    <t>0.01 - 970</t>
  </si>
  <si>
    <t>0.006346</t>
  </si>
  <si>
    <t>0.411</t>
  </si>
  <si>
    <t>0.0000133322</t>
  </si>
  <si>
    <t>10.5</t>
  </si>
  <si>
    <t>0.766</t>
  </si>
  <si>
    <t>0.167</t>
  </si>
  <si>
    <t>0.23</t>
  </si>
  <si>
    <t>0.124</t>
  </si>
  <si>
    <t>0.128</t>
  </si>
  <si>
    <t>0.218</t>
  </si>
  <si>
    <t>0.026</t>
  </si>
  <si>
    <t>0.37</t>
  </si>
  <si>
    <t>0.0031</t>
  </si>
  <si>
    <t>0.142</t>
  </si>
  <si>
    <t>44.58</t>
  </si>
  <si>
    <t>211.77</t>
  </si>
  <si>
    <t>7,5 at 20 °C</t>
  </si>
  <si>
    <t>4,73</t>
  </si>
  <si>
    <t>4,5 at 25 °C</t>
  </si>
  <si>
    <t>4,11</t>
  </si>
  <si>
    <t>1,60 at 25 °C</t>
  </si>
  <si>
    <t>2,2 at 41 °C</t>
  </si>
  <si>
    <t>8,1</t>
  </si>
  <si>
    <t>5,32 to 6,20</t>
  </si>
  <si>
    <t>4 at 20 °C</t>
  </si>
  <si>
    <t xml:space="preserve">3,7 </t>
  </si>
  <si>
    <t>1,30</t>
  </si>
  <si>
    <t>4,94</t>
  </si>
  <si>
    <t>3,272</t>
  </si>
  <si>
    <t>3,13</t>
  </si>
  <si>
    <t>3,7</t>
  </si>
  <si>
    <t>1,62</t>
  </si>
  <si>
    <t>2,34</t>
  </si>
  <si>
    <t>4,28</t>
  </si>
  <si>
    <t>3,46</t>
  </si>
  <si>
    <t>3,24</t>
  </si>
  <si>
    <t>2,58</t>
  </si>
  <si>
    <t>3,47</t>
  </si>
  <si>
    <t>87100 L/kg</t>
  </si>
  <si>
    <t>1871 L/kg</t>
  </si>
  <si>
    <t>1360 L/kg at 20°C</t>
  </si>
  <si>
    <t>5012 L/kg</t>
  </si>
  <si>
    <t>42 L/kg</t>
  </si>
  <si>
    <t>217 L/kg at 20°C</t>
  </si>
  <si>
    <t>19055 L/kg</t>
  </si>
  <si>
    <t>2 884 L/kg</t>
  </si>
  <si>
    <t>1724 L/kg at 20°C</t>
  </si>
  <si>
    <t>378 L/kg</t>
  </si>
  <si>
    <t>2950 L/kg</t>
  </si>
  <si>
    <t>374 °C</t>
  </si>
  <si>
    <t>370 °C</t>
  </si>
  <si>
    <t xml:space="preserve">340 °C </t>
  </si>
  <si>
    <t>320 °C</t>
  </si>
  <si>
    <t xml:space="preserve">283,1 °C </t>
  </si>
  <si>
    <t xml:space="preserve">297,3 °C </t>
  </si>
  <si>
    <t>220 °C</t>
  </si>
  <si>
    <t>322,03 °C</t>
  </si>
  <si>
    <t>289 °C</t>
  </si>
  <si>
    <t>218,2 °C</t>
  </si>
  <si>
    <t>291 °C</t>
  </si>
  <si>
    <t xml:space="preserve">
281 °C</t>
  </si>
  <si>
    <t>390.6</t>
  </si>
  <si>
    <t>312.36</t>
  </si>
  <si>
    <t>278.34</t>
  </si>
  <si>
    <t>278.344</t>
  </si>
  <si>
    <t>194.18</t>
  </si>
  <si>
    <t>222.24</t>
  </si>
  <si>
    <t>390.56</t>
  </si>
  <si>
    <t>330.4</t>
  </si>
  <si>
    <t>266.31</t>
  </si>
  <si>
    <t>128.17</t>
  </si>
  <si>
    <t>220.35</t>
  </si>
  <si>
    <t>PCN</t>
  </si>
  <si>
    <t>1-chloronaphthalene</t>
  </si>
  <si>
    <t>monochloronaphtalène</t>
  </si>
  <si>
    <t>247-120-1</t>
  </si>
  <si>
    <t>25586-43-0</t>
  </si>
  <si>
    <t>1,3-DICHLORONAPHTHALENE</t>
  </si>
  <si>
    <t>dichloronaphtalène</t>
  </si>
  <si>
    <t>218-603-4</t>
  </si>
  <si>
    <t>28699-88-9</t>
  </si>
  <si>
    <t>1,2,3-Trichloronaphthalene</t>
  </si>
  <si>
    <t>trichloronaphtalène</t>
  </si>
  <si>
    <t>215-321-3</t>
  </si>
  <si>
    <t>1321-65-9</t>
  </si>
  <si>
    <t>1,2,3,4-TETRACHLORONAPHTHALENE</t>
  </si>
  <si>
    <t>tetrachloronaphtalène</t>
  </si>
  <si>
    <t>215-642-9</t>
  </si>
  <si>
    <t>1335-88-2</t>
  </si>
  <si>
    <t>1,2,4,5,7-Pentachloronaphthalene</t>
  </si>
  <si>
    <t>Pentachloronaphtalène</t>
  </si>
  <si>
    <t>215-320-8</t>
  </si>
  <si>
    <t>1321-64-8</t>
  </si>
  <si>
    <t>1,2,3,4,5,6-Hexachloronaphthalene</t>
  </si>
  <si>
    <t>Hexachloronaphtalène</t>
  </si>
  <si>
    <t>215-641-3</t>
  </si>
  <si>
    <t>1335-87-1</t>
  </si>
  <si>
    <t>1,2,3,4,5,6,7-Heptachloronaphthalene</t>
  </si>
  <si>
    <t>Heptachloronaphtalène</t>
  </si>
  <si>
    <t>250-969-0</t>
  </si>
  <si>
    <t>32241-08-0</t>
  </si>
  <si>
    <t>OCTACHLORONAPHTHALENE</t>
  </si>
  <si>
    <t>Octachloronaphtalène</t>
  </si>
  <si>
    <t>218-778-7</t>
  </si>
  <si>
    <t>2234-13-1</t>
  </si>
  <si>
    <t xml:space="preserve">	
C10H7Cl</t>
  </si>
  <si>
    <t>C1=CC=C2C(=C1)C=CC=C2Cl</t>
  </si>
  <si>
    <t>C10H6Cl2</t>
  </si>
  <si>
    <t>C1=CC=C2C(=C1)C=C(C=C2Cl)Cl</t>
  </si>
  <si>
    <t>C10H5Cl3</t>
  </si>
  <si>
    <t>C1=CC=C2C(=C1)C=C(C(=C2Cl)Cl)Cl</t>
  </si>
  <si>
    <t xml:space="preserve">	
C10H4Cl4</t>
  </si>
  <si>
    <t>C1=CC=C2C(=C1)C(=C(C(=C2Cl)Cl)Cl)Cl</t>
  </si>
  <si>
    <t>C10H3Cl5</t>
  </si>
  <si>
    <t>C1=C(C=C(C2=C1C(=C(C=C2Cl)Cl)Cl)Cl)Cl</t>
  </si>
  <si>
    <t xml:space="preserve">	
C10H2Cl6</t>
  </si>
  <si>
    <t>C1=CC(=C(C2=C1C(=C(C(=C2Cl)Cl)Cl)Cl)Cl)Cl</t>
  </si>
  <si>
    <t xml:space="preserve">	
C10HCl7</t>
  </si>
  <si>
    <t>C1=C2C(=C(C(=C1Cl)Cl)Cl)C(=C(C(=C2Cl)Cl)Cl)Cl</t>
  </si>
  <si>
    <t>C10Cl8</t>
  </si>
  <si>
    <t>C12=C(C(=C(C(=C1Cl)Cl)Cl)Cl)C(=C(C(=C2Cl)Cl)Cl)Cl</t>
  </si>
  <si>
    <t>Mono</t>
  </si>
  <si>
    <t>Di</t>
  </si>
  <si>
    <t>Tri</t>
  </si>
  <si>
    <t>Tetra</t>
  </si>
  <si>
    <t>Penta</t>
  </si>
  <si>
    <t>Hexa</t>
  </si>
  <si>
    <t>Hepta</t>
  </si>
  <si>
    <t>Octa</t>
  </si>
  <si>
    <t>H315 /  H319 /  H335</t>
  </si>
  <si>
    <t>0.017-0.064</t>
  </si>
  <si>
    <t xml:space="preserve">&lt; 133,322 </t>
  </si>
  <si>
    <t>&lt; 133,322</t>
  </si>
  <si>
    <t>5,12-5,35</t>
  </si>
  <si>
    <t>8,73/9,13</t>
  </si>
  <si>
    <t>1620 L/kg</t>
  </si>
  <si>
    <t>7940 L/kg</t>
  </si>
  <si>
    <t>64600 L/kg</t>
  </si>
  <si>
    <t>135000 L/kg</t>
  </si>
  <si>
    <t>479000 L/kg</t>
  </si>
  <si>
    <t>1050000 L/kg</t>
  </si>
  <si>
    <t>776000 L/kg</t>
  </si>
  <si>
    <t>328 °C</t>
  </si>
  <si>
    <t>304-354 °C</t>
  </si>
  <si>
    <t>311,5 to 360 °C</t>
  </si>
  <si>
    <t>327-371 °C</t>
  </si>
  <si>
    <t>344-388 °C</t>
  </si>
  <si>
    <t>389 °C</t>
  </si>
  <si>
    <t>440 °C</t>
  </si>
  <si>
    <t>SCCP</t>
  </si>
  <si>
    <t>Alkanes, C10-13, chloro</t>
  </si>
  <si>
    <t>CERECLOR</t>
  </si>
  <si>
    <t>287-476-5</t>
  </si>
  <si>
    <t>85535-84-8</t>
  </si>
  <si>
    <t>None</t>
  </si>
  <si>
    <t>This substance is a UVCB, which means that it contains a range of substances. Therefore, SMILES codes don't apply because a SMILES code is specific for one substance only</t>
  </si>
  <si>
    <t>Production of this substance in Europe has stopped</t>
  </si>
  <si>
    <t>H351 / 	H400 / H410</t>
  </si>
  <si>
    <t>4,48 - 8,69</t>
  </si>
  <si>
    <t>200 °C</t>
  </si>
  <si>
    <t xml:space="preserve">	300-500 </t>
  </si>
  <si>
    <t>Volatile</t>
  </si>
  <si>
    <t>Programme de recherche BioDiEn
Bruxelles Environnement
VVM
Bio monitoring BMH-Wal</t>
  </si>
  <si>
    <t>Bio monitoring “European Human Dashboard”
Bio monitoring BMH-Wal</t>
  </si>
  <si>
    <t>BXL envi</t>
  </si>
  <si>
    <t>BXL envi, VVM</t>
  </si>
  <si>
    <t>BXL envi, Biomonitoring BLH-Wal</t>
  </si>
  <si>
    <t>Bio monitoring (BIOPRO)
VVM
Bruxelles Environnement</t>
  </si>
  <si>
    <t>Bio monitoring (BIOPRO)
VVM
Programme de recherche BioDiEn 
Bruxelles Environnement
Bio monitoring BMH-Wal</t>
  </si>
  <si>
    <t xml:space="preserve">Programme de recherche BioDiEn
VVM </t>
  </si>
  <si>
    <t>Programme de recherche BioDiEn
VVM
Bruxelles Environnement</t>
  </si>
  <si>
    <t>VVM, BXL ENVI</t>
  </si>
  <si>
    <t>Quantité</t>
  </si>
  <si>
    <t>Quantité UE</t>
  </si>
  <si>
    <t>38640-62-9</t>
  </si>
  <si>
    <t>Diisopropylnaphthalene</t>
  </si>
  <si>
    <t>DIPN</t>
  </si>
  <si>
    <t>254-052-6</t>
  </si>
  <si>
    <t>N°EC/List</t>
  </si>
  <si>
    <t>intrinsèquement biodégradable</t>
  </si>
  <si>
    <t xml:space="preserve">intrinsèquement biodégradable  </t>
  </si>
  <si>
    <t>non biodégradable</t>
  </si>
  <si>
    <t>non facilement biodégradable</t>
  </si>
  <si>
    <t xml:space="preserve">non facilement biodégradable  </t>
  </si>
  <si>
    <t>facilement biodégradable</t>
  </si>
  <si>
    <t xml:space="preserve">facilement biodégradable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</si>
</sst>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7" x14ac:knownFonts="1">
    <font>
      <sz val="11"/>
      <color theme="1"/>
      <name val="Calibri"/>
      <family val="2"/>
      <scheme val="minor"/>
    </font>
    <font>
      <sz val="11"/>
      <color theme="1"/>
      <name val="Calibri"/>
      <family val="2"/>
      <scheme val="minor"/>
    </font>
    <font>
      <b/>
      <sz val="12"/>
      <color theme="0"/>
      <name val="Calibri"/>
      <family val="2"/>
      <scheme val="minor"/>
    </font>
    <font>
      <sz val="10"/>
      <name val="Arial"/>
      <family val="2"/>
    </font>
    <font>
      <b/>
      <sz val="10"/>
      <name val="Arial"/>
      <family val="2"/>
    </font>
    <font>
      <sz val="11"/>
      <name val="Calibri"/>
      <family val="2"/>
      <scheme val="minor"/>
    </font>
    <font>
      <u/>
      <sz val="11"/>
      <color theme="10"/>
      <name val="Calibri"/>
      <family val="2"/>
      <scheme val="minor"/>
    </font>
  </fonts>
  <fills count="16">
    <fill>
      <patternFill patternType="none"/>
    </fill>
    <fill>
      <patternFill patternType="gray125"/>
    </fill>
    <fill>
      <patternFill patternType="solid">
        <fgColor theme="7"/>
        <bgColor indexed="64"/>
      </patternFill>
    </fill>
    <fill>
      <patternFill patternType="solid">
        <fgColor theme="7" tint="0.79998168889431442"/>
        <bgColor indexed="64"/>
      </patternFill>
    </fill>
    <fill>
      <patternFill patternType="solid">
        <fgColor theme="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FF0000"/>
        <bgColor indexed="64"/>
      </patternFill>
    </fill>
    <fill>
      <patternFill patternType="solid">
        <fgColor theme="8" tint="0.3999755851924192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66CC"/>
        <bgColor indexed="64"/>
      </patternFill>
    </fill>
    <fill>
      <patternFill patternType="solid">
        <fgColor rgb="FFF4B084"/>
        <bgColor indexed="64"/>
      </patternFill>
    </fill>
    <fill>
      <patternFill patternType="solid">
        <fgColor rgb="FFF4B084"/>
        <bgColor rgb="FF000000"/>
      </patternFill>
    </fill>
    <fill>
      <patternFill patternType="solid">
        <fgColor rgb="FFFCE4D6"/>
        <bgColor rgb="FFFCE4D6"/>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0" fontId="1" fillId="0" borderId="0"/>
    <xf numFmtId="0" fontId="6" fillId="0" borderId="0" applyNumberFormat="0" applyFill="0" applyBorder="0" applyAlignment="0" applyProtection="0"/>
  </cellStyleXfs>
  <cellXfs count="240">
    <xf numFmtId="0" fontId="0" fillId="0" borderId="0" xfId="0"/>
    <xf numFmtId="0" fontId="2" fillId="0" borderId="0" xfId="0" applyFont="1" applyAlignment="1">
      <alignment horizontal="center" vertical="center" wrapText="1"/>
    </xf>
    <xf numFmtId="0" fontId="0" fillId="0" borderId="0" xfId="0" applyAlignment="1">
      <alignment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2" fontId="3" fillId="0" borderId="0" xfId="0" applyNumberFormat="1" applyFont="1" applyAlignment="1">
      <alignment horizontal="center" vertical="center" wrapText="1"/>
    </xf>
    <xf numFmtId="0" fontId="3" fillId="0" borderId="0" xfId="0" quotePrefix="1" applyFont="1" applyAlignment="1">
      <alignment horizontal="center" vertical="center" wrapText="1"/>
    </xf>
    <xf numFmtId="11" fontId="3" fillId="0" borderId="0" xfId="0" applyNumberFormat="1" applyFont="1" applyAlignment="1">
      <alignment horizontal="center" vertical="center" wrapText="1"/>
    </xf>
    <xf numFmtId="0" fontId="4" fillId="0" borderId="0" xfId="0" applyFont="1" applyAlignment="1">
      <alignment horizontal="center" vertical="center" wrapText="1"/>
    </xf>
    <xf numFmtId="0" fontId="3" fillId="11" borderId="8" xfId="0" applyFont="1" applyFill="1" applyBorder="1" applyAlignment="1">
      <alignment horizontal="justify" vertical="center" wrapText="1"/>
    </xf>
    <xf numFmtId="0" fontId="3" fillId="0" borderId="0" xfId="0" applyFont="1" applyAlignment="1">
      <alignment wrapText="1"/>
    </xf>
    <xf numFmtId="0" fontId="3" fillId="0" borderId="0" xfId="0" applyFont="1" applyAlignment="1">
      <alignment horizontal="center" wrapText="1"/>
    </xf>
    <xf numFmtId="11" fontId="3" fillId="0" borderId="0" xfId="0" applyNumberFormat="1" applyFont="1" applyAlignment="1">
      <alignment horizontal="center" wrapText="1"/>
    </xf>
    <xf numFmtId="11" fontId="3" fillId="0" borderId="0" xfId="0" applyNumberFormat="1" applyFont="1" applyAlignment="1">
      <alignment wrapText="1"/>
    </xf>
    <xf numFmtId="0" fontId="3" fillId="0" borderId="0" xfId="0" applyFont="1" applyAlignment="1">
      <alignment horizontal="left" wrapText="1"/>
    </xf>
    <xf numFmtId="164" fontId="3" fillId="0" borderId="0" xfId="0" applyNumberFormat="1" applyFont="1" applyAlignment="1">
      <alignment horizontal="left" wrapText="1"/>
    </xf>
    <xf numFmtId="11" fontId="3" fillId="0" borderId="0" xfId="0" applyNumberFormat="1" applyFont="1" applyAlignment="1">
      <alignment horizontal="left" wrapText="1"/>
    </xf>
    <xf numFmtId="0" fontId="3" fillId="0" borderId="0" xfId="0" applyFont="1"/>
    <xf numFmtId="0" fontId="3" fillId="0" borderId="0" xfId="0" applyFont="1" applyAlignment="1">
      <alignment horizontal="left"/>
    </xf>
    <xf numFmtId="0" fontId="5" fillId="0" borderId="0" xfId="0" applyFont="1"/>
    <xf numFmtId="0" fontId="3" fillId="0" borderId="0" xfId="2" applyFont="1" applyBorder="1" applyAlignment="1">
      <alignment horizontal="center" wrapText="1"/>
    </xf>
    <xf numFmtId="2" fontId="3" fillId="0" borderId="0" xfId="0" applyNumberFormat="1" applyFont="1" applyAlignment="1">
      <alignment horizontal="center" wrapText="1"/>
    </xf>
    <xf numFmtId="0" fontId="3" fillId="0" borderId="0" xfId="0" quotePrefix="1" applyFont="1" applyAlignment="1">
      <alignment horizontal="center" wrapText="1"/>
    </xf>
    <xf numFmtId="0" fontId="5" fillId="0" borderId="0" xfId="0" applyFont="1" applyAlignment="1">
      <alignment vertical="center"/>
    </xf>
    <xf numFmtId="3" fontId="3" fillId="0" borderId="0" xfId="0" applyNumberFormat="1" applyFont="1" applyAlignment="1">
      <alignment horizontal="center" wrapText="1"/>
    </xf>
    <xf numFmtId="164" fontId="3" fillId="0" borderId="0" xfId="0" applyNumberFormat="1" applyFont="1" applyAlignment="1">
      <alignment horizontal="center" wrapText="1"/>
    </xf>
    <xf numFmtId="0" fontId="4" fillId="0" borderId="0" xfId="0" applyFont="1" applyAlignment="1">
      <alignment horizontal="left" vertical="center" wrapText="1"/>
    </xf>
    <xf numFmtId="0" fontId="4" fillId="4" borderId="25" xfId="0" applyFont="1" applyFill="1" applyBorder="1" applyAlignment="1">
      <alignment horizontal="center" vertical="center" wrapText="1"/>
    </xf>
    <xf numFmtId="0" fontId="4" fillId="4" borderId="26"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3" fillId="5" borderId="8" xfId="0" applyFont="1" applyFill="1" applyBorder="1" applyAlignment="1">
      <alignment horizontal="center"/>
    </xf>
    <xf numFmtId="0" fontId="3" fillId="5" borderId="1" xfId="0" applyFont="1" applyFill="1" applyBorder="1" applyAlignment="1">
      <alignment horizontal="center"/>
    </xf>
    <xf numFmtId="0" fontId="3" fillId="5" borderId="9" xfId="0" applyFont="1" applyFill="1" applyBorder="1" applyAlignment="1">
      <alignment horizontal="center"/>
    </xf>
    <xf numFmtId="0" fontId="3" fillId="13" borderId="16" xfId="0" applyFont="1" applyFill="1" applyBorder="1" applyAlignment="1">
      <alignment horizontal="center"/>
    </xf>
    <xf numFmtId="0" fontId="3" fillId="13" borderId="6" xfId="0" applyFont="1" applyFill="1" applyBorder="1" applyAlignment="1">
      <alignment horizontal="center"/>
    </xf>
    <xf numFmtId="0" fontId="3" fillId="13" borderId="7" xfId="0" applyFont="1" applyFill="1" applyBorder="1" applyAlignment="1">
      <alignment horizontal="center"/>
    </xf>
    <xf numFmtId="0" fontId="3" fillId="13" borderId="8" xfId="0" applyFont="1" applyFill="1" applyBorder="1" applyAlignment="1">
      <alignment horizontal="center"/>
    </xf>
    <xf numFmtId="0" fontId="3" fillId="13" borderId="1" xfId="0" applyFont="1" applyFill="1" applyBorder="1" applyAlignment="1">
      <alignment horizontal="center"/>
    </xf>
    <xf numFmtId="0" fontId="3" fillId="13" borderId="9" xfId="0" applyFont="1" applyFill="1" applyBorder="1" applyAlignment="1">
      <alignment horizontal="center"/>
    </xf>
    <xf numFmtId="0" fontId="3" fillId="5" borderId="16" xfId="0" applyFont="1" applyFill="1" applyBorder="1" applyAlignment="1">
      <alignment horizontal="center"/>
    </xf>
    <xf numFmtId="0" fontId="3" fillId="5" borderId="6" xfId="0" applyFont="1" applyFill="1" applyBorder="1" applyAlignment="1">
      <alignment horizontal="center"/>
    </xf>
    <xf numFmtId="0" fontId="3" fillId="5" borderId="7" xfId="0" applyFont="1" applyFill="1" applyBorder="1" applyAlignment="1">
      <alignment horizontal="center"/>
    </xf>
    <xf numFmtId="0" fontId="3" fillId="5" borderId="33" xfId="0" applyFont="1" applyFill="1" applyBorder="1" applyAlignment="1">
      <alignment horizontal="center"/>
    </xf>
    <xf numFmtId="0" fontId="3" fillId="5" borderId="34" xfId="0" applyFont="1" applyFill="1" applyBorder="1" applyAlignment="1">
      <alignment horizontal="center"/>
    </xf>
    <xf numFmtId="0" fontId="3" fillId="5" borderId="10" xfId="0" applyFont="1" applyFill="1" applyBorder="1" applyAlignment="1">
      <alignment horizontal="center"/>
    </xf>
    <xf numFmtId="0" fontId="3" fillId="5" borderId="11" xfId="0" applyFont="1" applyFill="1" applyBorder="1" applyAlignment="1">
      <alignment horizontal="center"/>
    </xf>
    <xf numFmtId="0" fontId="3" fillId="5" borderId="25" xfId="0" applyFont="1" applyFill="1" applyBorder="1" applyAlignment="1">
      <alignment horizontal="center"/>
    </xf>
    <xf numFmtId="0" fontId="3" fillId="5" borderId="26" xfId="0" applyFont="1" applyFill="1" applyBorder="1" applyAlignment="1">
      <alignment horizontal="center"/>
    </xf>
    <xf numFmtId="0" fontId="3" fillId="5" borderId="27" xfId="0" applyFont="1" applyFill="1" applyBorder="1" applyAlignment="1">
      <alignment horizontal="center"/>
    </xf>
    <xf numFmtId="0" fontId="3" fillId="5" borderId="12" xfId="0" applyFont="1" applyFill="1" applyBorder="1" applyAlignment="1">
      <alignment horizontal="center"/>
    </xf>
    <xf numFmtId="0" fontId="3" fillId="0" borderId="0" xfId="0" applyFont="1" applyAlignment="1">
      <alignment vertical="top" wrapText="1"/>
    </xf>
    <xf numFmtId="0" fontId="4" fillId="0" borderId="0" xfId="0" applyFont="1"/>
    <xf numFmtId="0" fontId="4" fillId="4" borderId="23" xfId="0" applyFont="1" applyFill="1" applyBorder="1"/>
    <xf numFmtId="0" fontId="4" fillId="2" borderId="7" xfId="0" applyFont="1" applyFill="1" applyBorder="1"/>
    <xf numFmtId="0" fontId="4" fillId="2" borderId="26" xfId="0" applyFont="1" applyFill="1" applyBorder="1"/>
    <xf numFmtId="0" fontId="4" fillId="2" borderId="27" xfId="0" applyFont="1" applyFill="1" applyBorder="1"/>
    <xf numFmtId="0" fontId="4" fillId="2" borderId="19" xfId="0" applyFont="1" applyFill="1" applyBorder="1"/>
    <xf numFmtId="0" fontId="4" fillId="4" borderId="19" xfId="0" applyFont="1" applyFill="1" applyBorder="1"/>
    <xf numFmtId="0" fontId="4" fillId="4" borderId="0" xfId="0" applyFont="1" applyFill="1" applyAlignment="1">
      <alignment horizontal="center"/>
    </xf>
    <xf numFmtId="0" fontId="4" fillId="0" borderId="8" xfId="0" applyFont="1" applyBorder="1" applyAlignment="1">
      <alignment horizontal="center"/>
    </xf>
    <xf numFmtId="0" fontId="4" fillId="0" borderId="1" xfId="0" applyFont="1" applyBorder="1" applyAlignment="1">
      <alignment horizontal="center"/>
    </xf>
    <xf numFmtId="0" fontId="3" fillId="0" borderId="9" xfId="0" applyFont="1" applyBorder="1"/>
    <xf numFmtId="0" fontId="3" fillId="0" borderId="16" xfId="0" applyFont="1" applyBorder="1"/>
    <xf numFmtId="0" fontId="3" fillId="0" borderId="6" xfId="0" applyFont="1" applyBorder="1"/>
    <xf numFmtId="0" fontId="3" fillId="0" borderId="7" xfId="0" applyFont="1" applyBorder="1"/>
    <xf numFmtId="0" fontId="3" fillId="0" borderId="24" xfId="0" applyFont="1" applyBorder="1"/>
    <xf numFmtId="0" fontId="4" fillId="0" borderId="21" xfId="0" applyFont="1" applyBorder="1"/>
    <xf numFmtId="0" fontId="3" fillId="0" borderId="4" xfId="0" applyFont="1" applyBorder="1"/>
    <xf numFmtId="0" fontId="3" fillId="0" borderId="22" xfId="0" applyFont="1" applyBorder="1"/>
    <xf numFmtId="0" fontId="3" fillId="0" borderId="5" xfId="0" applyFont="1" applyBorder="1"/>
    <xf numFmtId="0" fontId="4" fillId="10" borderId="0" xfId="0" applyFont="1" applyFill="1" applyAlignment="1">
      <alignment horizontal="center" wrapText="1"/>
    </xf>
    <xf numFmtId="0" fontId="4" fillId="4" borderId="30" xfId="0" applyFont="1" applyFill="1" applyBorder="1" applyAlignment="1">
      <alignment horizontal="center"/>
    </xf>
    <xf numFmtId="0" fontId="4" fillId="0" borderId="8" xfId="0" applyFont="1" applyBorder="1" applyAlignment="1">
      <alignment horizontal="center" vertical="center" wrapText="1"/>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center" vertical="center" wrapText="1"/>
    </xf>
    <xf numFmtId="0" fontId="4" fillId="9" borderId="25" xfId="0" applyFont="1" applyFill="1" applyBorder="1" applyAlignment="1">
      <alignment horizontal="center" vertical="center" wrapText="1"/>
    </xf>
    <xf numFmtId="0" fontId="4" fillId="9" borderId="27" xfId="0" applyFont="1" applyFill="1" applyBorder="1" applyAlignment="1">
      <alignment horizontal="center" vertical="center" wrapText="1"/>
    </xf>
    <xf numFmtId="0" fontId="4" fillId="10" borderId="40" xfId="0" applyFont="1" applyFill="1" applyBorder="1" applyAlignment="1">
      <alignment horizontal="center" vertical="center" wrapText="1"/>
    </xf>
    <xf numFmtId="0" fontId="4" fillId="10" borderId="41" xfId="0" applyFont="1" applyFill="1" applyBorder="1" applyAlignment="1">
      <alignment horizontal="center" vertical="center" wrapText="1"/>
    </xf>
    <xf numFmtId="0" fontId="4" fillId="10" borderId="42" xfId="0" applyFont="1" applyFill="1" applyBorder="1" applyAlignment="1">
      <alignment horizontal="center" vertical="center" wrapText="1"/>
    </xf>
    <xf numFmtId="9" fontId="4" fillId="0" borderId="39" xfId="0" applyNumberFormat="1" applyFont="1" applyBorder="1" applyAlignment="1">
      <alignment horizontal="center" vertical="center" wrapText="1"/>
    </xf>
    <xf numFmtId="9" fontId="4" fillId="0" borderId="41" xfId="0" applyNumberFormat="1" applyFont="1" applyBorder="1" applyAlignment="1">
      <alignment horizontal="center" vertical="center" wrapText="1"/>
    </xf>
    <xf numFmtId="9" fontId="4" fillId="0" borderId="0" xfId="0" applyNumberFormat="1" applyFont="1" applyAlignment="1">
      <alignment horizontal="center" vertical="center" wrapText="1"/>
    </xf>
    <xf numFmtId="0" fontId="4" fillId="6" borderId="25" xfId="0" applyFont="1" applyFill="1" applyBorder="1" applyAlignment="1">
      <alignment vertical="center" wrapText="1"/>
    </xf>
    <xf numFmtId="0" fontId="4" fillId="6" borderId="26" xfId="0" quotePrefix="1" applyFont="1" applyFill="1" applyBorder="1" applyAlignment="1">
      <alignment vertical="center" wrapText="1"/>
    </xf>
    <xf numFmtId="0" fontId="4" fillId="7" borderId="26" xfId="0" applyFont="1" applyFill="1" applyBorder="1" applyAlignment="1">
      <alignment vertical="center" wrapText="1"/>
    </xf>
    <xf numFmtId="0" fontId="4" fillId="7" borderId="27" xfId="0" quotePrefix="1" applyFont="1" applyFill="1" applyBorder="1" applyAlignment="1">
      <alignment vertical="center" wrapText="1"/>
    </xf>
    <xf numFmtId="0" fontId="4" fillId="4" borderId="1" xfId="0" applyFont="1" applyFill="1" applyBorder="1" applyAlignment="1">
      <alignment horizontal="center" vertical="center" wrapText="1"/>
    </xf>
    <xf numFmtId="1" fontId="3" fillId="0" borderId="8" xfId="0" applyNumberFormat="1" applyFont="1" applyBorder="1" applyAlignment="1">
      <alignment horizontal="center" vertical="center"/>
    </xf>
    <xf numFmtId="1" fontId="3" fillId="0" borderId="1" xfId="0" applyNumberFormat="1" applyFont="1" applyBorder="1" applyAlignment="1">
      <alignment horizontal="center" vertical="center"/>
    </xf>
    <xf numFmtId="1" fontId="3" fillId="3" borderId="9" xfId="0" applyNumberFormat="1" applyFont="1" applyFill="1" applyBorder="1" applyAlignment="1">
      <alignment horizontal="center" vertical="center"/>
    </xf>
    <xf numFmtId="0" fontId="3" fillId="0" borderId="0" xfId="0" applyFont="1" applyAlignment="1">
      <alignment horizontal="center"/>
    </xf>
    <xf numFmtId="0" fontId="3" fillId="0" borderId="8" xfId="0" applyFont="1" applyBorder="1" applyAlignment="1">
      <alignment horizontal="center" vertical="center" wrapText="1"/>
    </xf>
    <xf numFmtId="0" fontId="3" fillId="0" borderId="1" xfId="0" applyFont="1" applyBorder="1" applyAlignment="1">
      <alignment horizontal="center" vertical="center" wrapText="1"/>
    </xf>
    <xf numFmtId="0" fontId="3" fillId="3" borderId="1" xfId="0" applyFont="1" applyFill="1" applyBorder="1" applyAlignment="1">
      <alignment horizontal="center" vertical="center"/>
    </xf>
    <xf numFmtId="0" fontId="3" fillId="3" borderId="9" xfId="0" applyFont="1" applyFill="1" applyBorder="1" applyAlignment="1">
      <alignment horizontal="center" vertical="center"/>
    </xf>
    <xf numFmtId="1" fontId="3" fillId="5" borderId="5" xfId="0" applyNumberFormat="1" applyFont="1" applyFill="1" applyBorder="1" applyAlignment="1">
      <alignment horizontal="center" vertical="center"/>
    </xf>
    <xf numFmtId="0" fontId="3" fillId="0" borderId="1" xfId="0" applyFont="1" applyBorder="1" applyAlignment="1">
      <alignment horizontal="center"/>
    </xf>
    <xf numFmtId="0" fontId="3" fillId="3" borderId="1" xfId="0" applyFont="1" applyFill="1" applyBorder="1" applyAlignment="1">
      <alignment horizontal="center"/>
    </xf>
    <xf numFmtId="0" fontId="3" fillId="3" borderId="9" xfId="0" applyFont="1" applyFill="1" applyBorder="1" applyAlignment="1">
      <alignment horizontal="center"/>
    </xf>
    <xf numFmtId="0" fontId="3" fillId="5" borderId="5" xfId="0" applyFont="1" applyFill="1" applyBorder="1"/>
    <xf numFmtId="0" fontId="3" fillId="11" borderId="8" xfId="0" applyFont="1" applyFill="1" applyBorder="1" applyAlignment="1">
      <alignment wrapText="1"/>
    </xf>
    <xf numFmtId="0" fontId="3" fillId="11" borderId="9" xfId="0" applyFont="1" applyFill="1" applyBorder="1"/>
    <xf numFmtId="1" fontId="4" fillId="12" borderId="8" xfId="0" applyNumberFormat="1" applyFont="1" applyFill="1" applyBorder="1" applyAlignment="1">
      <alignment vertical="center"/>
    </xf>
    <xf numFmtId="2" fontId="4" fillId="12" borderId="9" xfId="0" applyNumberFormat="1" applyFont="1" applyFill="1" applyBorder="1" applyAlignment="1">
      <alignment vertical="center"/>
    </xf>
    <xf numFmtId="2" fontId="4" fillId="0" borderId="0" xfId="0" applyNumberFormat="1" applyFont="1" applyAlignment="1">
      <alignment vertical="center"/>
    </xf>
    <xf numFmtId="0" fontId="4" fillId="12" borderId="8" xfId="0" applyFont="1" applyFill="1" applyBorder="1" applyAlignment="1">
      <alignment vertical="center"/>
    </xf>
    <xf numFmtId="0" fontId="4" fillId="12" borderId="1" xfId="0" applyFont="1" applyFill="1" applyBorder="1" applyAlignment="1">
      <alignment vertical="center"/>
    </xf>
    <xf numFmtId="0" fontId="3" fillId="0" borderId="1" xfId="0" applyFont="1" applyBorder="1" applyAlignment="1">
      <alignment vertical="center"/>
    </xf>
    <xf numFmtId="1" fontId="3" fillId="0" borderId="1" xfId="0" applyNumberFormat="1" applyFont="1" applyBorder="1" applyAlignment="1">
      <alignment vertical="center"/>
    </xf>
    <xf numFmtId="1" fontId="3" fillId="0" borderId="9" xfId="0" applyNumberFormat="1" applyFont="1" applyBorder="1" applyAlignment="1">
      <alignment vertical="center"/>
    </xf>
    <xf numFmtId="1" fontId="3" fillId="0" borderId="0" xfId="0" applyNumberFormat="1" applyFont="1" applyAlignment="1">
      <alignment vertical="center"/>
    </xf>
    <xf numFmtId="0" fontId="3" fillId="6" borderId="8" xfId="0" applyFont="1" applyFill="1" applyBorder="1" applyAlignment="1">
      <alignment vertical="center"/>
    </xf>
    <xf numFmtId="0" fontId="3" fillId="6" borderId="1" xfId="0" applyFont="1" applyFill="1" applyBorder="1" applyAlignment="1">
      <alignment vertical="center"/>
    </xf>
    <xf numFmtId="0" fontId="3" fillId="7" borderId="1" xfId="0" applyFont="1" applyFill="1" applyBorder="1" applyAlignment="1">
      <alignment vertical="center"/>
    </xf>
    <xf numFmtId="0" fontId="3" fillId="7" borderId="22" xfId="0" applyFont="1" applyFill="1" applyBorder="1" applyAlignment="1">
      <alignment vertical="center"/>
    </xf>
    <xf numFmtId="0" fontId="3" fillId="8" borderId="1" xfId="0" applyFont="1" applyFill="1" applyBorder="1" applyAlignment="1">
      <alignment vertical="center"/>
    </xf>
    <xf numFmtId="2" fontId="3" fillId="0" borderId="1" xfId="0" applyNumberFormat="1" applyFont="1" applyBorder="1" applyAlignment="1">
      <alignment horizontal="center" vertical="center" wrapText="1"/>
    </xf>
    <xf numFmtId="11" fontId="3" fillId="0" borderId="8" xfId="0" applyNumberFormat="1" applyFont="1" applyBorder="1" applyAlignment="1">
      <alignment horizontal="center" vertical="center" wrapText="1"/>
    </xf>
    <xf numFmtId="1" fontId="3" fillId="0" borderId="16" xfId="0" applyNumberFormat="1" applyFont="1" applyBorder="1" applyAlignment="1">
      <alignment horizontal="center" vertical="center"/>
    </xf>
    <xf numFmtId="1" fontId="3" fillId="0" borderId="6" xfId="0" applyNumberFormat="1" applyFont="1" applyBorder="1" applyAlignment="1">
      <alignment horizontal="center" vertical="center"/>
    </xf>
    <xf numFmtId="1" fontId="3" fillId="3" borderId="7" xfId="0" applyNumberFormat="1" applyFont="1" applyFill="1" applyBorder="1" applyAlignment="1">
      <alignment horizontal="center" vertical="center"/>
    </xf>
    <xf numFmtId="0" fontId="3" fillId="0" borderId="16" xfId="0" applyFont="1" applyBorder="1" applyAlignment="1">
      <alignment horizontal="center"/>
    </xf>
    <xf numFmtId="0" fontId="3" fillId="0" borderId="6" xfId="0" applyFont="1" applyBorder="1" applyAlignment="1">
      <alignment horizontal="center" vertical="center" wrapText="1"/>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xf>
    <xf numFmtId="1" fontId="3" fillId="5" borderId="32" xfId="0" applyNumberFormat="1" applyFont="1" applyFill="1" applyBorder="1" applyAlignment="1">
      <alignment horizontal="center" vertical="center"/>
    </xf>
    <xf numFmtId="0" fontId="3" fillId="0" borderId="6" xfId="0" applyFont="1" applyBorder="1" applyAlignment="1">
      <alignment horizontal="center"/>
    </xf>
    <xf numFmtId="0" fontId="3" fillId="3" borderId="6" xfId="0" applyFont="1" applyFill="1" applyBorder="1" applyAlignment="1">
      <alignment horizontal="center"/>
    </xf>
    <xf numFmtId="0" fontId="3" fillId="3" borderId="7" xfId="0" applyFont="1" applyFill="1" applyBorder="1" applyAlignment="1">
      <alignment horizontal="center"/>
    </xf>
    <xf numFmtId="0" fontId="3" fillId="5" borderId="32" xfId="0" applyFont="1" applyFill="1" applyBorder="1"/>
    <xf numFmtId="0" fontId="3" fillId="11" borderId="16" xfId="0" applyFont="1" applyFill="1" applyBorder="1" applyAlignment="1">
      <alignment wrapText="1"/>
    </xf>
    <xf numFmtId="0" fontId="3" fillId="11" borderId="7" xfId="0" applyFont="1" applyFill="1" applyBorder="1"/>
    <xf numFmtId="1" fontId="4" fillId="12" borderId="16" xfId="0" applyNumberFormat="1" applyFont="1" applyFill="1" applyBorder="1" applyAlignment="1">
      <alignment vertical="center"/>
    </xf>
    <xf numFmtId="2" fontId="4" fillId="12" borderId="7" xfId="0" applyNumberFormat="1" applyFont="1" applyFill="1" applyBorder="1" applyAlignment="1">
      <alignment vertical="center"/>
    </xf>
    <xf numFmtId="0" fontId="4" fillId="12" borderId="16" xfId="0" applyFont="1" applyFill="1" applyBorder="1" applyAlignment="1">
      <alignment vertical="center"/>
    </xf>
    <xf numFmtId="0" fontId="4" fillId="12" borderId="6" xfId="0" applyFont="1" applyFill="1" applyBorder="1" applyAlignment="1">
      <alignment vertical="center"/>
    </xf>
    <xf numFmtId="0" fontId="3" fillId="0" borderId="6" xfId="0" applyFont="1" applyBorder="1" applyAlignment="1">
      <alignment vertical="center"/>
    </xf>
    <xf numFmtId="1" fontId="3" fillId="0" borderId="6" xfId="0" applyNumberFormat="1" applyFont="1" applyBorder="1" applyAlignment="1">
      <alignment vertical="center"/>
    </xf>
    <xf numFmtId="1" fontId="3" fillId="0" borderId="7" xfId="0" applyNumberFormat="1" applyFont="1" applyBorder="1" applyAlignment="1">
      <alignment vertical="center"/>
    </xf>
    <xf numFmtId="0" fontId="3" fillId="0" borderId="8" xfId="0" applyFont="1" applyBorder="1" applyAlignment="1">
      <alignment horizontal="center"/>
    </xf>
    <xf numFmtId="0" fontId="3" fillId="11" borderId="21" xfId="0" applyFont="1" applyFill="1" applyBorder="1" applyAlignment="1">
      <alignment wrapText="1"/>
    </xf>
    <xf numFmtId="1" fontId="3" fillId="0" borderId="33" xfId="0" applyNumberFormat="1" applyFont="1" applyBorder="1" applyAlignment="1">
      <alignment horizontal="center" vertical="center"/>
    </xf>
    <xf numFmtId="1" fontId="3" fillId="0" borderId="34" xfId="0" applyNumberFormat="1" applyFont="1" applyBorder="1" applyAlignment="1">
      <alignment horizontal="center" vertical="center"/>
    </xf>
    <xf numFmtId="1" fontId="3" fillId="3" borderId="35" xfId="0" applyNumberFormat="1" applyFont="1" applyFill="1" applyBorder="1" applyAlignment="1">
      <alignment horizontal="center" vertical="center"/>
    </xf>
    <xf numFmtId="0" fontId="3" fillId="0" borderId="33" xfId="0" applyFont="1" applyBorder="1" applyAlignment="1">
      <alignment horizontal="center"/>
    </xf>
    <xf numFmtId="0" fontId="3" fillId="0" borderId="34" xfId="0" applyFont="1" applyBorder="1" applyAlignment="1">
      <alignment horizontal="center" vertical="center" wrapText="1"/>
    </xf>
    <xf numFmtId="0" fontId="3" fillId="3" borderId="34" xfId="0" applyFont="1" applyFill="1" applyBorder="1" applyAlignment="1">
      <alignment horizontal="center" vertical="center"/>
    </xf>
    <xf numFmtId="0" fontId="3" fillId="3" borderId="35" xfId="0" applyFont="1" applyFill="1" applyBorder="1" applyAlignment="1">
      <alignment horizontal="center" vertical="center"/>
    </xf>
    <xf numFmtId="1" fontId="3" fillId="5" borderId="36" xfId="0" applyNumberFormat="1" applyFont="1" applyFill="1" applyBorder="1" applyAlignment="1">
      <alignment horizontal="center" vertical="center"/>
    </xf>
    <xf numFmtId="0" fontId="3" fillId="0" borderId="10" xfId="0" applyFont="1" applyBorder="1" applyAlignment="1">
      <alignment horizontal="center"/>
    </xf>
    <xf numFmtId="0" fontId="3" fillId="0" borderId="11" xfId="0" applyFont="1" applyBorder="1" applyAlignment="1">
      <alignment horizontal="center"/>
    </xf>
    <xf numFmtId="0" fontId="3" fillId="3" borderId="11" xfId="0" applyFont="1" applyFill="1" applyBorder="1" applyAlignment="1">
      <alignment horizontal="center" vertical="center"/>
    </xf>
    <xf numFmtId="0" fontId="3" fillId="3" borderId="11" xfId="0" applyFont="1" applyFill="1" applyBorder="1" applyAlignment="1">
      <alignment horizontal="center"/>
    </xf>
    <xf numFmtId="0" fontId="3" fillId="3" borderId="12" xfId="0" applyFont="1" applyFill="1" applyBorder="1" applyAlignment="1">
      <alignment horizontal="center"/>
    </xf>
    <xf numFmtId="0" fontId="3" fillId="5" borderId="36" xfId="0" applyFont="1" applyFill="1" applyBorder="1"/>
    <xf numFmtId="0" fontId="3" fillId="11" borderId="10" xfId="0" applyFont="1" applyFill="1" applyBorder="1" applyAlignment="1">
      <alignment wrapText="1"/>
    </xf>
    <xf numFmtId="0" fontId="3" fillId="11" borderId="12" xfId="0" applyFont="1" applyFill="1" applyBorder="1"/>
    <xf numFmtId="1" fontId="4" fillId="12" borderId="10" xfId="0" applyNumberFormat="1" applyFont="1" applyFill="1" applyBorder="1" applyAlignment="1">
      <alignment vertical="center"/>
    </xf>
    <xf numFmtId="2" fontId="4" fillId="12" borderId="12" xfId="0" applyNumberFormat="1" applyFont="1" applyFill="1" applyBorder="1" applyAlignment="1">
      <alignment vertical="center"/>
    </xf>
    <xf numFmtId="0" fontId="4" fillId="12" borderId="10" xfId="0" applyFont="1" applyFill="1" applyBorder="1" applyAlignment="1">
      <alignment vertical="center"/>
    </xf>
    <xf numFmtId="0" fontId="4" fillId="12" borderId="11" xfId="0" applyFont="1" applyFill="1" applyBorder="1" applyAlignment="1">
      <alignment vertical="center"/>
    </xf>
    <xf numFmtId="0" fontId="3" fillId="0" borderId="11" xfId="0" applyFont="1" applyBorder="1" applyAlignment="1">
      <alignment vertical="center"/>
    </xf>
    <xf numFmtId="1" fontId="3" fillId="0" borderId="11" xfId="0" applyNumberFormat="1" applyFont="1" applyBorder="1" applyAlignment="1">
      <alignment vertical="center"/>
    </xf>
    <xf numFmtId="1" fontId="3" fillId="0" borderId="12" xfId="0" applyNumberFormat="1" applyFont="1" applyBorder="1" applyAlignment="1">
      <alignment vertical="center"/>
    </xf>
    <xf numFmtId="0" fontId="3" fillId="0" borderId="11" xfId="0" applyFont="1" applyBorder="1" applyAlignment="1">
      <alignment horizontal="center" vertical="center" wrapText="1"/>
    </xf>
    <xf numFmtId="0" fontId="3" fillId="3" borderId="12" xfId="0" applyFont="1" applyFill="1" applyBorder="1" applyAlignment="1">
      <alignment horizontal="center" vertical="center"/>
    </xf>
    <xf numFmtId="0" fontId="3" fillId="5" borderId="37" xfId="0" applyFont="1" applyFill="1" applyBorder="1"/>
    <xf numFmtId="1" fontId="3" fillId="0" borderId="25" xfId="0" applyNumberFormat="1" applyFont="1" applyBorder="1" applyAlignment="1">
      <alignment horizontal="center" vertical="center"/>
    </xf>
    <xf numFmtId="1" fontId="3" fillId="0" borderId="26" xfId="0" applyNumberFormat="1" applyFont="1" applyBorder="1" applyAlignment="1">
      <alignment horizontal="center" vertical="center"/>
    </xf>
    <xf numFmtId="1" fontId="3" fillId="3" borderId="27" xfId="0" applyNumberFormat="1" applyFont="1" applyFill="1" applyBorder="1" applyAlignment="1">
      <alignment horizontal="center" vertical="center"/>
    </xf>
    <xf numFmtId="0" fontId="3" fillId="0" borderId="28" xfId="0" applyFont="1" applyBorder="1" applyAlignment="1">
      <alignment horizontal="center"/>
    </xf>
    <xf numFmtId="0" fontId="3" fillId="0" borderId="29" xfId="0" applyFont="1" applyBorder="1" applyAlignment="1">
      <alignment horizontal="center" vertical="center" wrapText="1"/>
    </xf>
    <xf numFmtId="0" fontId="3" fillId="3" borderId="29" xfId="0" applyFont="1" applyFill="1" applyBorder="1" applyAlignment="1">
      <alignment horizontal="center" vertical="center"/>
    </xf>
    <xf numFmtId="0" fontId="3" fillId="3" borderId="30" xfId="0" applyFont="1" applyFill="1" applyBorder="1" applyAlignment="1">
      <alignment horizontal="center" vertical="center"/>
    </xf>
    <xf numFmtId="1" fontId="3" fillId="5" borderId="19" xfId="0" applyNumberFormat="1" applyFont="1" applyFill="1" applyBorder="1" applyAlignment="1">
      <alignment horizontal="center" vertical="center"/>
    </xf>
    <xf numFmtId="0" fontId="3" fillId="0" borderId="25" xfId="0" applyFont="1" applyBorder="1" applyAlignment="1">
      <alignment horizontal="center"/>
    </xf>
    <xf numFmtId="0" fontId="3" fillId="0" borderId="26" xfId="0" applyFont="1" applyBorder="1" applyAlignment="1">
      <alignment horizontal="center"/>
    </xf>
    <xf numFmtId="0" fontId="3" fillId="3" borderId="26" xfId="0" applyFont="1" applyFill="1" applyBorder="1" applyAlignment="1">
      <alignment horizontal="center" vertical="center"/>
    </xf>
    <xf numFmtId="0" fontId="3" fillId="3" borderId="26" xfId="0" applyFont="1" applyFill="1" applyBorder="1" applyAlignment="1">
      <alignment horizontal="center"/>
    </xf>
    <xf numFmtId="0" fontId="3" fillId="3" borderId="27" xfId="0" applyFont="1" applyFill="1" applyBorder="1" applyAlignment="1">
      <alignment horizontal="center"/>
    </xf>
    <xf numFmtId="0" fontId="3" fillId="5" borderId="19" xfId="0" applyFont="1" applyFill="1" applyBorder="1"/>
    <xf numFmtId="0" fontId="3" fillId="11" borderId="25" xfId="0" applyFont="1" applyFill="1" applyBorder="1" applyAlignment="1">
      <alignment wrapText="1"/>
    </xf>
    <xf numFmtId="0" fontId="3" fillId="11" borderId="27" xfId="0" applyFont="1" applyFill="1" applyBorder="1"/>
    <xf numFmtId="1" fontId="4" fillId="12" borderId="25" xfId="0" applyNumberFormat="1" applyFont="1" applyFill="1" applyBorder="1" applyAlignment="1">
      <alignment vertical="center"/>
    </xf>
    <xf numFmtId="2" fontId="4" fillId="12" borderId="27" xfId="0" applyNumberFormat="1" applyFont="1" applyFill="1" applyBorder="1" applyAlignment="1">
      <alignment vertical="center"/>
    </xf>
    <xf numFmtId="0" fontId="4" fillId="12" borderId="25" xfId="0" applyFont="1" applyFill="1" applyBorder="1" applyAlignment="1">
      <alignment vertical="center"/>
    </xf>
    <xf numFmtId="0" fontId="4" fillId="12" borderId="26" xfId="0" applyFont="1" applyFill="1" applyBorder="1" applyAlignment="1">
      <alignment vertical="center"/>
    </xf>
    <xf numFmtId="0" fontId="3" fillId="0" borderId="26" xfId="0" applyFont="1" applyBorder="1" applyAlignment="1">
      <alignment vertical="center"/>
    </xf>
    <xf numFmtId="1" fontId="3" fillId="0" borderId="26" xfId="0" applyNumberFormat="1" applyFont="1" applyBorder="1" applyAlignment="1">
      <alignment vertical="center"/>
    </xf>
    <xf numFmtId="1" fontId="3" fillId="0" borderId="27" xfId="0" applyNumberFormat="1" applyFont="1" applyBorder="1" applyAlignment="1">
      <alignment vertical="center"/>
    </xf>
    <xf numFmtId="0" fontId="3" fillId="5" borderId="2" xfId="0" applyFont="1" applyFill="1" applyBorder="1"/>
    <xf numFmtId="1" fontId="3" fillId="0" borderId="10" xfId="0" applyNumberFormat="1" applyFont="1" applyBorder="1" applyAlignment="1">
      <alignment horizontal="center" vertical="center"/>
    </xf>
    <xf numFmtId="1" fontId="3" fillId="0" borderId="11" xfId="0" applyNumberFormat="1" applyFont="1" applyBorder="1" applyAlignment="1">
      <alignment horizontal="center" vertical="center"/>
    </xf>
    <xf numFmtId="1" fontId="3" fillId="3" borderId="12" xfId="0" applyNumberFormat="1" applyFont="1" applyFill="1" applyBorder="1" applyAlignment="1">
      <alignment horizontal="center" vertical="center"/>
    </xf>
    <xf numFmtId="0" fontId="3" fillId="5" borderId="23" xfId="0" applyFont="1" applyFill="1" applyBorder="1"/>
    <xf numFmtId="1" fontId="3" fillId="5" borderId="37" xfId="0" applyNumberFormat="1" applyFont="1" applyFill="1" applyBorder="1" applyAlignment="1">
      <alignment horizontal="center" vertical="center"/>
    </xf>
    <xf numFmtId="0" fontId="3" fillId="11" borderId="33" xfId="0" applyFont="1" applyFill="1" applyBorder="1" applyAlignment="1">
      <alignment wrapText="1"/>
    </xf>
    <xf numFmtId="0" fontId="3" fillId="11" borderId="35" xfId="0" applyFont="1" applyFill="1" applyBorder="1"/>
    <xf numFmtId="0" fontId="3" fillId="0" borderId="26" xfId="0" applyFont="1" applyBorder="1" applyAlignment="1">
      <alignment horizontal="center" vertical="center" wrapText="1"/>
    </xf>
    <xf numFmtId="0" fontId="3" fillId="3" borderId="27" xfId="0" applyFont="1" applyFill="1" applyBorder="1" applyAlignment="1">
      <alignment horizontal="center" vertical="center"/>
    </xf>
    <xf numFmtId="1" fontId="3" fillId="5" borderId="38" xfId="0" applyNumberFormat="1" applyFont="1" applyFill="1" applyBorder="1" applyAlignment="1">
      <alignment horizontal="center" vertical="center"/>
    </xf>
    <xf numFmtId="0" fontId="3" fillId="0" borderId="2" xfId="0" applyFont="1" applyBorder="1"/>
    <xf numFmtId="0" fontId="3" fillId="0" borderId="1" xfId="0" applyFont="1" applyBorder="1"/>
    <xf numFmtId="0" fontId="3" fillId="0" borderId="1" xfId="0" applyFont="1" applyBorder="1" applyAlignment="1">
      <alignment wrapText="1"/>
    </xf>
    <xf numFmtId="0" fontId="3" fillId="0" borderId="3" xfId="0" applyFont="1" applyBorder="1"/>
    <xf numFmtId="0" fontId="3" fillId="11" borderId="40" xfId="0" applyFont="1" applyFill="1" applyBorder="1" applyAlignment="1">
      <alignment wrapText="1"/>
    </xf>
    <xf numFmtId="0" fontId="3" fillId="11" borderId="41" xfId="0" applyFont="1" applyFill="1" applyBorder="1"/>
    <xf numFmtId="1" fontId="4" fillId="12" borderId="44" xfId="0" applyNumberFormat="1" applyFont="1" applyFill="1" applyBorder="1" applyAlignment="1">
      <alignment vertical="center"/>
    </xf>
    <xf numFmtId="2" fontId="4" fillId="12" borderId="46" xfId="0" applyNumberFormat="1" applyFont="1" applyFill="1" applyBorder="1" applyAlignment="1">
      <alignment vertical="center"/>
    </xf>
    <xf numFmtId="0" fontId="4" fillId="12" borderId="44" xfId="0" applyFont="1" applyFill="1" applyBorder="1" applyAlignment="1">
      <alignment vertical="center"/>
    </xf>
    <xf numFmtId="0" fontId="4" fillId="12" borderId="45" xfId="0" applyFont="1" applyFill="1" applyBorder="1" applyAlignment="1">
      <alignment vertical="center"/>
    </xf>
    <xf numFmtId="0" fontId="3" fillId="0" borderId="45" xfId="0" applyFont="1" applyBorder="1" applyAlignment="1">
      <alignment vertical="center"/>
    </xf>
    <xf numFmtId="1" fontId="3" fillId="0" borderId="45" xfId="0" applyNumberFormat="1" applyFont="1" applyBorder="1" applyAlignment="1">
      <alignment vertical="center"/>
    </xf>
    <xf numFmtId="1" fontId="3" fillId="0" borderId="46" xfId="0" applyNumberFormat="1" applyFont="1" applyBorder="1" applyAlignment="1">
      <alignment vertical="center"/>
    </xf>
    <xf numFmtId="0" fontId="3" fillId="14" borderId="8" xfId="0" applyFont="1" applyFill="1" applyBorder="1" applyAlignment="1">
      <alignment horizontal="center"/>
    </xf>
    <xf numFmtId="0" fontId="3" fillId="14" borderId="1" xfId="0" applyFont="1" applyFill="1" applyBorder="1" applyAlignment="1">
      <alignment horizontal="center"/>
    </xf>
    <xf numFmtId="0" fontId="3" fillId="14" borderId="9" xfId="0" applyFont="1" applyFill="1" applyBorder="1" applyAlignment="1">
      <alignment horizontal="center"/>
    </xf>
    <xf numFmtId="0" fontId="3" fillId="15" borderId="0" xfId="0" applyFont="1" applyFill="1" applyAlignment="1">
      <alignment horizontal="center" vertical="center" wrapText="1"/>
    </xf>
    <xf numFmtId="0" fontId="3" fillId="15" borderId="0" xfId="0" applyFont="1" applyFill="1"/>
    <xf numFmtId="0" fontId="4" fillId="4" borderId="13" xfId="0" applyFont="1" applyFill="1" applyBorder="1" applyAlignment="1">
      <alignment horizontal="center"/>
    </xf>
    <xf numFmtId="0" fontId="4" fillId="4" borderId="14" xfId="0" applyFont="1" applyFill="1" applyBorder="1" applyAlignment="1">
      <alignment horizontal="center"/>
    </xf>
    <xf numFmtId="0" fontId="4" fillId="4" borderId="15" xfId="0" applyFont="1" applyFill="1" applyBorder="1" applyAlignment="1">
      <alignment horizontal="center"/>
    </xf>
    <xf numFmtId="0" fontId="4" fillId="4" borderId="20" xfId="0" applyFont="1" applyFill="1" applyBorder="1" applyAlignment="1">
      <alignment horizontal="center"/>
    </xf>
    <xf numFmtId="0" fontId="4" fillId="4" borderId="17" xfId="0" applyFont="1" applyFill="1" applyBorder="1" applyAlignment="1">
      <alignment horizontal="center"/>
    </xf>
    <xf numFmtId="0" fontId="4" fillId="4" borderId="18" xfId="0" applyFont="1" applyFill="1" applyBorder="1" applyAlignment="1">
      <alignment horizontal="center"/>
    </xf>
    <xf numFmtId="0" fontId="4" fillId="4" borderId="31" xfId="0" applyFont="1" applyFill="1" applyBorder="1" applyAlignment="1">
      <alignment horizontal="center"/>
    </xf>
    <xf numFmtId="0" fontId="4" fillId="2" borderId="13" xfId="0" applyFont="1" applyFill="1" applyBorder="1" applyAlignment="1">
      <alignment horizontal="center"/>
    </xf>
    <xf numFmtId="0" fontId="4" fillId="2" borderId="14" xfId="0" applyFont="1" applyFill="1" applyBorder="1" applyAlignment="1">
      <alignment horizontal="center"/>
    </xf>
    <xf numFmtId="0" fontId="4" fillId="2" borderId="31" xfId="0" applyFont="1" applyFill="1" applyBorder="1" applyAlignment="1">
      <alignment horizontal="center"/>
    </xf>
    <xf numFmtId="0" fontId="4" fillId="2" borderId="43" xfId="0" applyFont="1" applyFill="1" applyBorder="1" applyAlignment="1">
      <alignment horizontal="center"/>
    </xf>
    <xf numFmtId="0" fontId="4" fillId="10" borderId="13" xfId="0" applyFont="1" applyFill="1" applyBorder="1" applyAlignment="1">
      <alignment horizontal="center"/>
    </xf>
    <xf numFmtId="0" fontId="4" fillId="10" borderId="15" xfId="0" applyFont="1" applyFill="1" applyBorder="1" applyAlignment="1">
      <alignment horizontal="center"/>
    </xf>
    <xf numFmtId="0" fontId="4" fillId="10" borderId="13" xfId="0" applyFont="1" applyFill="1" applyBorder="1" applyAlignment="1">
      <alignment horizontal="center" wrapText="1"/>
    </xf>
    <xf numFmtId="0" fontId="4" fillId="10" borderId="15" xfId="0" applyFont="1" applyFill="1" applyBorder="1" applyAlignment="1">
      <alignment horizontal="center" wrapText="1"/>
    </xf>
    <xf numFmtId="0" fontId="4" fillId="10" borderId="14" xfId="0" applyFont="1" applyFill="1" applyBorder="1" applyAlignment="1">
      <alignment horizontal="center" wrapText="1"/>
    </xf>
  </cellXfs>
  <cellStyles count="3">
    <cellStyle name="Hyperlink" xfId="2" builtinId="8"/>
    <cellStyle name="Normal" xfId="0" builtinId="0"/>
    <cellStyle name="Standaard 2" xfId="1" xr:uid="{3A986F54-8D43-498C-B2D9-B0A93B5C2652}"/>
  </cellStyles>
  <dxfs count="3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border diagonalUp="0" diagonalDown="0">
        <left/>
        <top style="medium">
          <color rgb="FF000000"/>
        </top>
        <bottom style="thin">
          <color rgb="FF000000"/>
        </bottom>
      </border>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b/>
        <i val="0"/>
        <strike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s>
  <tableStyles count="0" defaultTableStyle="TableStyleMedium2" defaultPivotStyle="PivotStyleLight16"/>
  <colors>
    <mruColors>
      <color rgb="FFF4B084"/>
      <color rgb="FFFFFF99"/>
      <color rgb="FFFF66CC"/>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114300</xdr:colOff>
      <xdr:row>0</xdr:row>
      <xdr:rowOff>85726</xdr:rowOff>
    </xdr:from>
    <xdr:to>
      <xdr:col>19</xdr:col>
      <xdr:colOff>19050</xdr:colOff>
      <xdr:row>82</xdr:row>
      <xdr:rowOff>156882</xdr:rowOff>
    </xdr:to>
    <xdr:sp macro="" textlink="">
      <xdr:nvSpPr>
        <xdr:cNvPr id="2" name="TextBox 1">
          <a:extLst>
            <a:ext uri="{FF2B5EF4-FFF2-40B4-BE49-F238E27FC236}">
              <a16:creationId xmlns:a16="http://schemas.microsoft.com/office/drawing/2014/main" id="{22282CEE-8B1A-C63D-D439-7CD8EA13D806}"/>
            </a:ext>
          </a:extLst>
        </xdr:cNvPr>
        <xdr:cNvSpPr txBox="1"/>
      </xdr:nvSpPr>
      <xdr:spPr>
        <a:xfrm>
          <a:off x="114300" y="85726"/>
          <a:ext cx="11401985" cy="14773274"/>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1. </a:t>
          </a:r>
          <a:r>
            <a:rPr lang="en-US" sz="1100" u="sng"/>
            <a:t>Objectif du document</a:t>
          </a:r>
          <a:r>
            <a:rPr lang="en-US" sz="1100" u="sng" baseline="0"/>
            <a:t> </a:t>
          </a:r>
          <a:r>
            <a:rPr lang="en-US" sz="1100" baseline="0"/>
            <a:t>: </a:t>
          </a:r>
        </a:p>
        <a:p>
          <a:pPr fontAlgn="t"/>
          <a:r>
            <a:rPr lang="en-US" sz="1100" b="0" i="0">
              <a:solidFill>
                <a:schemeClr val="dk1"/>
              </a:solidFill>
              <a:effectLst/>
              <a:latin typeface="+mn-lt"/>
              <a:ea typeface="+mn-ea"/>
              <a:cs typeface="+mn-cs"/>
            </a:rPr>
            <a:t>Ce document a pour objectif de fournir des recommandations à destination des autorités wallonnes et des experts en sols. Présenté sous la forme d’un tableau Excel, il permet de se concentrer sur certaines substances prioritaires en fonction des besoins, ainsi que de</a:t>
          </a:r>
          <a:r>
            <a:rPr lang="en-US" sz="1100" b="0" i="0" baseline="0">
              <a:solidFill>
                <a:schemeClr val="dk1"/>
              </a:solidFill>
              <a:effectLst/>
              <a:latin typeface="+mn-lt"/>
              <a:ea typeface="+mn-ea"/>
              <a:cs typeface="+mn-cs"/>
            </a:rPr>
            <a:t> rapidement pouvoir </a:t>
          </a:r>
          <a:r>
            <a:rPr lang="en-US" sz="1100" b="0" i="0">
              <a:solidFill>
                <a:schemeClr val="dk1"/>
              </a:solidFill>
              <a:effectLst/>
              <a:latin typeface="+mn-lt"/>
              <a:ea typeface="+mn-ea"/>
              <a:cs typeface="+mn-cs"/>
            </a:rPr>
            <a:t>analyser le comportement des substances dans l’environnement.</a:t>
          </a:r>
        </a:p>
        <a:p>
          <a:endParaRPr lang="en-US" sz="1100" baseline="0"/>
        </a:p>
        <a:p>
          <a:r>
            <a:rPr lang="en-US" sz="1100" baseline="0"/>
            <a:t>2. </a:t>
          </a:r>
          <a:r>
            <a:rPr lang="en-US" sz="1100" u="sng" baseline="0"/>
            <a:t>Paramètres et méthodologie appliquée : </a:t>
          </a:r>
        </a:p>
        <a:p>
          <a:pPr marL="0" marR="0" lvl="0" indent="0" defTabSz="914400" eaLnBrk="1" fontAlgn="auto" latinLnBrk="0" hangingPunct="1">
            <a:lnSpc>
              <a:spcPct val="100000"/>
            </a:lnSpc>
            <a:spcBef>
              <a:spcPts val="0"/>
            </a:spcBef>
            <a:spcAft>
              <a:spcPts val="0"/>
            </a:spcAft>
            <a:buClrTx/>
            <a:buSzTx/>
            <a:buFontTx/>
            <a:buNone/>
            <a:tabLst/>
            <a:defRPr/>
          </a:pPr>
          <a:r>
            <a:rPr lang="fr-BE" sz="1100">
              <a:solidFill>
                <a:schemeClr val="dk1"/>
              </a:solidFill>
              <a:effectLst/>
              <a:latin typeface="+mn-lt"/>
              <a:ea typeface="+mn-ea"/>
              <a:cs typeface="+mn-cs"/>
            </a:rPr>
            <a:t>- Information principale sur la substance (famille, nom, acronyme, n° EC, n°CAS).</a:t>
          </a: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BE" sz="1100">
              <a:solidFill>
                <a:schemeClr val="dk1"/>
              </a:solidFill>
              <a:effectLst/>
              <a:latin typeface="+mn-lt"/>
              <a:ea typeface="+mn-ea"/>
              <a:cs typeface="+mn-cs"/>
            </a:rPr>
            <a:t>- Score relatif à la toxicité (méthodologie détaillée au chapitre 2.1.1 du rapport  délivrable</a:t>
          </a:r>
          <a:r>
            <a:rPr lang="fr-BE" sz="1100" baseline="0">
              <a:solidFill>
                <a:schemeClr val="dk1"/>
              </a:solidFill>
              <a:effectLst/>
              <a:latin typeface="+mn-lt"/>
              <a:ea typeface="+mn-ea"/>
              <a:cs typeface="+mn-cs"/>
            </a:rPr>
            <a:t> n°2</a:t>
          </a:r>
          <a:r>
            <a:rPr lang="fr-BE" sz="11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BE" sz="1100">
              <a:solidFill>
                <a:schemeClr val="dk1"/>
              </a:solidFill>
              <a:effectLst/>
              <a:latin typeface="+mn-lt"/>
              <a:ea typeface="+mn-ea"/>
              <a:cs typeface="+mn-cs"/>
            </a:rPr>
            <a:t>- Échelle de quantité de la substance importée ou produite en Europe (données de l’ECHA). Les quantités ont été évaluées de la manière suivante conformément au délivrable aan°1 :</a:t>
          </a:r>
          <a:endParaRPr lang="en-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BE" sz="1100">
            <a:solidFill>
              <a:schemeClr val="dk1"/>
            </a:solidFill>
            <a:effectLst/>
            <a:latin typeface="+mn-lt"/>
            <a:ea typeface="+mn-ea"/>
            <a:cs typeface="+mn-cs"/>
          </a:endParaRPr>
        </a:p>
        <a:p>
          <a:endParaRPr lang="en-US" sz="1100" u="sng"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pPr lvl="0"/>
          <a:r>
            <a:rPr lang="en-US" sz="1100" baseline="0"/>
            <a:t>- </a:t>
          </a:r>
          <a:r>
            <a:rPr lang="fr-BE" sz="1100">
              <a:solidFill>
                <a:schemeClr val="dk1"/>
              </a:solidFill>
              <a:effectLst/>
              <a:latin typeface="+mn-lt"/>
              <a:ea typeface="+mn-ea"/>
              <a:cs typeface="+mn-cs"/>
            </a:rPr>
            <a:t>La mobilité calculée selon deux approches :</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	a.</a:t>
          </a:r>
          <a:r>
            <a:rPr lang="en-US" sz="1100" baseline="0">
              <a:solidFill>
                <a:schemeClr val="dk1"/>
              </a:solidFill>
              <a:effectLst/>
              <a:latin typeface="+mn-lt"/>
              <a:ea typeface="+mn-ea"/>
              <a:cs typeface="+mn-cs"/>
            </a:rPr>
            <a:t> </a:t>
          </a:r>
          <a:r>
            <a:rPr lang="fr-BE" sz="1100">
              <a:solidFill>
                <a:schemeClr val="dk1"/>
              </a:solidFill>
              <a:effectLst/>
              <a:latin typeface="+mn-lt"/>
              <a:ea typeface="+mn-ea"/>
              <a:cs typeface="+mn-cs"/>
            </a:rPr>
            <a:t>Mobilité basée sur la solubilité, l’index utilisé provient des lignes directrices de l’OVAM (Flandre, Belgique) :</a:t>
          </a:r>
          <a:endParaRPr lang="en-BE" sz="1100">
            <a:solidFill>
              <a:schemeClr val="dk1"/>
            </a:solidFill>
            <a:effectLst/>
            <a:latin typeface="+mn-lt"/>
            <a:ea typeface="+mn-ea"/>
            <a:cs typeface="+mn-cs"/>
          </a:endParaRPr>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	b. </a:t>
          </a:r>
          <a:r>
            <a:rPr lang="fr-BE" sz="1100">
              <a:solidFill>
                <a:schemeClr val="dk1"/>
              </a:solidFill>
              <a:effectLst/>
              <a:latin typeface="+mn-lt"/>
              <a:ea typeface="+mn-ea"/>
              <a:cs typeface="+mn-cs"/>
            </a:rPr>
            <a:t>Mobilité basée sur le LogKoc, l’index utilisé provient du règlement (CE) 1272/2008 (CLP) : Une substance présentant un Log Koc &lt; 3 est considérée comme mobile (M), une 		substance &lt; 2 comme très mobile (vM), tandis qu’une substance présentant un Log Koc &gt; 3 est considérée comme non mobile.</a:t>
          </a:r>
        </a:p>
        <a:p>
          <a:pPr marL="0" marR="0" lvl="0" indent="0" defTabSz="914400" eaLnBrk="1" fontAlgn="auto" latinLnBrk="0" hangingPunct="1">
            <a:lnSpc>
              <a:spcPct val="100000"/>
            </a:lnSpc>
            <a:spcBef>
              <a:spcPts val="0"/>
            </a:spcBef>
            <a:spcAft>
              <a:spcPts val="0"/>
            </a:spcAft>
            <a:buClrTx/>
            <a:buSzTx/>
            <a:buFontTx/>
            <a:buNone/>
            <a:tabLst/>
            <a:defRPr/>
          </a:pPr>
          <a:endParaRPr lang="en-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 </a:t>
          </a:r>
          <a:r>
            <a:rPr lang="fr-BE" sz="1100">
              <a:solidFill>
                <a:schemeClr val="dk1"/>
              </a:solidFill>
              <a:effectLst/>
              <a:latin typeface="+mn-lt"/>
              <a:ea typeface="+mn-ea"/>
              <a:cs typeface="+mn-cs"/>
            </a:rPr>
            <a:t>La volatilité évaluée sur base du document </a:t>
          </a:r>
          <a:r>
            <a:rPr lang="fr-BE" sz="1100" i="1">
              <a:solidFill>
                <a:schemeClr val="dk1"/>
              </a:solidFill>
              <a:effectLst/>
              <a:latin typeface="+mn-lt"/>
              <a:ea typeface="+mn-ea"/>
              <a:cs typeface="+mn-cs"/>
            </a:rPr>
            <a:t>Superfund Vapor Intrusion FAQs</a:t>
          </a:r>
          <a:r>
            <a:rPr lang="fr-BE" sz="1100">
              <a:solidFill>
                <a:schemeClr val="dk1"/>
              </a:solidFill>
              <a:effectLst/>
              <a:latin typeface="+mn-lt"/>
              <a:ea typeface="+mn-ea"/>
              <a:cs typeface="+mn-cs"/>
            </a:rPr>
            <a:t> (EPA, février 2012). Une substance est considérée comme volatile si elle remplit simultanément les critères suivants : masse molaire &lt; 200 g/mol ; pression de vapeur &gt; 67 Pa (0,5 mm Hg) ; coefficient de Henry &gt; 0,5 Pa·m³/mol. À noter qu’un critère de volatilité est également renseigné dans les guides de bonnes pratiques wallon CWBP (Pvap &gt; 10 Pa à 20 °C). Il a été fait le choix dans le cadre de ce projet d’utiliser les critères de l’EPA qui ne se basaient pas uniquement sur la pression de vapeur pour juger de la volatilité d’une substance. A noter également que certaines données de pression de vapeur sont prises à des températures différentes de 20 degrés. Ce choix ne remet pas en question le critère défini dans les guides de bonnes pratiques CWBP.</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 </a:t>
          </a:r>
          <a:r>
            <a:rPr lang="fr-BE" sz="1100">
              <a:solidFill>
                <a:schemeClr val="dk1"/>
              </a:solidFill>
              <a:effectLst/>
              <a:latin typeface="+mn-lt"/>
              <a:ea typeface="+mn-ea"/>
              <a:cs typeface="+mn-cs"/>
            </a:rPr>
            <a:t>La biodégradabilité. Le paramètre de biodégradabilité, basé sur les données de l’ECHA, est détaillé dans la section 2.3.1 du délivrable n°1. </a:t>
          </a:r>
        </a:p>
        <a:p>
          <a:pPr marL="0" marR="0" lvl="0" indent="0" defTabSz="914400" eaLnBrk="1" fontAlgn="auto" latinLnBrk="0" hangingPunct="1">
            <a:lnSpc>
              <a:spcPct val="100000"/>
            </a:lnSpc>
            <a:spcBef>
              <a:spcPts val="0"/>
            </a:spcBef>
            <a:spcAft>
              <a:spcPts val="0"/>
            </a:spcAft>
            <a:buClrTx/>
            <a:buSzTx/>
            <a:buFontTx/>
            <a:buNone/>
            <a:tabLst/>
            <a:defRPr/>
          </a:pPr>
          <a:endParaRPr lang="en-BE"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 </a:t>
          </a:r>
          <a:r>
            <a:rPr lang="fr-BE" sz="1100">
              <a:solidFill>
                <a:schemeClr val="dk1"/>
              </a:solidFill>
              <a:effectLst/>
              <a:latin typeface="+mn-lt"/>
              <a:ea typeface="+mn-ea"/>
              <a:cs typeface="+mn-cs"/>
            </a:rPr>
            <a:t>La capacité des laboratoires à analyser la substance. A noter que des réponses ont été obtenues de la part d’Eurofins et Servaco (voir délivrable n°1). Un retour de la part de SGS et Agrolab est encore attendu.</a:t>
          </a:r>
          <a:endParaRPr lang="en-BE" sz="1100">
            <a:solidFill>
              <a:schemeClr val="dk1"/>
            </a:solidFill>
            <a:effectLst/>
            <a:latin typeface="+mn-lt"/>
            <a:ea typeface="+mn-ea"/>
            <a:cs typeface="+mn-cs"/>
          </a:endParaRPr>
        </a:p>
        <a:p>
          <a:endParaRPr lang="en-US" sz="1100" baseline="0"/>
        </a:p>
        <a:p>
          <a:r>
            <a:rPr lang="en-US" sz="1100" baseline="0"/>
            <a:t>3. </a:t>
          </a:r>
          <a:r>
            <a:rPr lang="en-US" sz="1100" u="sng" baseline="0"/>
            <a:t>Structure et utilisation du document </a:t>
          </a:r>
          <a:r>
            <a:rPr lang="en-US" sz="1100" baseline="0"/>
            <a:t>:</a:t>
          </a:r>
        </a:p>
        <a:p>
          <a:pPr fontAlgn="t"/>
          <a:r>
            <a:rPr lang="en-US" sz="1100" b="0" i="0">
              <a:solidFill>
                <a:schemeClr val="dk1"/>
              </a:solidFill>
              <a:effectLst/>
              <a:latin typeface="+mn-lt"/>
              <a:ea typeface="+mn-ea"/>
              <a:cs typeface="+mn-cs"/>
            </a:rPr>
            <a:t>Le tableau de bord permet de filtrer les substances en fonction de différents paramètres. En cliquant sur les filtres associée à chaque colonne (voir figure ci-dessous), l’utilisateur peut sélectionner et filtrer une liste de substances en fonction de ces intérêts.</a:t>
          </a:r>
        </a:p>
        <a:p>
          <a:pPr fontAlgn="t"/>
          <a:endParaRPr lang="en-US" sz="1100" b="0" i="0">
            <a:solidFill>
              <a:schemeClr val="dk1"/>
            </a:solidFill>
            <a:effectLst/>
            <a:latin typeface="+mn-lt"/>
            <a:ea typeface="+mn-ea"/>
            <a:cs typeface="+mn-cs"/>
          </a:endParaRPr>
        </a:p>
        <a:p>
          <a:pPr fontAlgn="t"/>
          <a:endParaRPr lang="en-US" sz="1100" b="0" i="0">
            <a:solidFill>
              <a:schemeClr val="dk1"/>
            </a:solidFill>
            <a:effectLst/>
            <a:latin typeface="+mn-lt"/>
            <a:ea typeface="+mn-ea"/>
            <a:cs typeface="+mn-cs"/>
          </a:endParaRPr>
        </a:p>
        <a:p>
          <a:pPr fontAlgn="t"/>
          <a:endParaRPr lang="en-US" sz="1100" b="0" i="0">
            <a:solidFill>
              <a:schemeClr val="dk1"/>
            </a:solidFill>
            <a:effectLst/>
            <a:latin typeface="+mn-lt"/>
            <a:ea typeface="+mn-ea"/>
            <a:cs typeface="+mn-cs"/>
          </a:endParaRPr>
        </a:p>
        <a:p>
          <a:pPr fontAlgn="t"/>
          <a:endParaRPr lang="en-US" sz="1100" b="0" i="0">
            <a:solidFill>
              <a:schemeClr val="dk1"/>
            </a:solidFill>
            <a:effectLst/>
            <a:latin typeface="+mn-lt"/>
            <a:ea typeface="+mn-ea"/>
            <a:cs typeface="+mn-cs"/>
          </a:endParaRPr>
        </a:p>
        <a:p>
          <a:pPr fontAlgn="t"/>
          <a:endParaRPr lang="en-US" sz="1100" b="0" i="0">
            <a:solidFill>
              <a:schemeClr val="dk1"/>
            </a:solidFill>
            <a:effectLst/>
            <a:latin typeface="+mn-lt"/>
            <a:ea typeface="+mn-ea"/>
            <a:cs typeface="+mn-cs"/>
          </a:endParaRPr>
        </a:p>
        <a:p>
          <a:pPr fontAlgn="t"/>
          <a:endParaRPr lang="en-US" sz="1100" b="0" i="0">
            <a:solidFill>
              <a:schemeClr val="dk1"/>
            </a:solidFill>
            <a:effectLst/>
            <a:latin typeface="+mn-lt"/>
            <a:ea typeface="+mn-ea"/>
            <a:cs typeface="+mn-cs"/>
          </a:endParaRPr>
        </a:p>
        <a:p>
          <a:pPr fontAlgn="t"/>
          <a:r>
            <a:rPr lang="en-US" sz="1100" b="1" i="0">
              <a:solidFill>
                <a:schemeClr val="dk1"/>
              </a:solidFill>
              <a:effectLst/>
              <a:latin typeface="+mn-lt"/>
              <a:ea typeface="+mn-ea"/>
              <a:cs typeface="+mn-cs"/>
            </a:rPr>
            <a:t>Quelques exemples et conseils d’utilisation :</a:t>
          </a:r>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 Filtrer afin de ne retenir que les substances les plus solubles et mobiles, dans l’objectif de vérifier leur présence potentielle dans les puits de captage destinés à la distribution d’eau publique;</a:t>
          </a:r>
        </a:p>
        <a:p>
          <a:pPr fontAlgn="t"/>
          <a:r>
            <a:rPr lang="en-US" sz="1100" b="0" i="0">
              <a:solidFill>
                <a:schemeClr val="dk1"/>
              </a:solidFill>
              <a:effectLst/>
              <a:latin typeface="+mn-lt"/>
              <a:ea typeface="+mn-ea"/>
              <a:cs typeface="+mn-cs"/>
            </a:rPr>
            <a:t>- Filtrer pour ne sélectionner que les substances présentant un score de toxicité élevé, si l'objectif est de se concentrer sur ces substances;</a:t>
          </a:r>
        </a:p>
        <a:p>
          <a:pPr fontAlgn="t"/>
          <a:r>
            <a:rPr lang="en-US" sz="1100" b="0" i="0">
              <a:solidFill>
                <a:schemeClr val="dk1"/>
              </a:solidFill>
              <a:effectLst/>
              <a:latin typeface="+mn-lt"/>
              <a:ea typeface="+mn-ea"/>
              <a:cs typeface="+mn-cs"/>
            </a:rPr>
            <a:t>- Utiliser le tableau Excel pour définir la stratégie d’investigation, par exemple en privilégiant : une investigation des eaux souterraines en aval d’une zone à risque pour des substances solubles et mobiles ;</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ou une investigation du sol à proximité de la source pour des substances peu solubles et peu mobiles.</a:t>
          </a:r>
        </a:p>
        <a:p>
          <a:pPr fontAlgn="t"/>
          <a:endParaRPr lang="en-US" sz="1100" b="0" i="0">
            <a:solidFill>
              <a:schemeClr val="dk1"/>
            </a:solidFill>
            <a:effectLst/>
            <a:latin typeface="+mn-lt"/>
            <a:ea typeface="+mn-ea"/>
            <a:cs typeface="+mn-cs"/>
          </a:endParaRPr>
        </a:p>
        <a:p>
          <a:pPr fontAlgn="t"/>
          <a:r>
            <a:rPr lang="en-US" sz="1100" b="0" i="0">
              <a:solidFill>
                <a:schemeClr val="dk1"/>
              </a:solidFill>
              <a:effectLst/>
              <a:latin typeface="+mn-lt"/>
              <a:ea typeface="+mn-ea"/>
              <a:cs typeface="+mn-cs"/>
            </a:rPr>
            <a:t>A noter que les</a:t>
          </a:r>
          <a:r>
            <a:rPr lang="en-US" sz="1100" b="0" i="0" baseline="0">
              <a:solidFill>
                <a:schemeClr val="dk1"/>
              </a:solidFill>
              <a:effectLst/>
              <a:latin typeface="+mn-lt"/>
              <a:ea typeface="+mn-ea"/>
              <a:cs typeface="+mn-cs"/>
            </a:rPr>
            <a:t> informations fournies par le Dashbaord se basent sur les données récoltées dans le cadre du délivrable n°1. Il est possible que ces données doivent être mises à jour sur base de nouvelles études produites par l'ECHA ou autre.</a:t>
          </a:r>
          <a:endParaRPr lang="en-US" sz="1100" b="0" i="0">
            <a:solidFill>
              <a:schemeClr val="dk1"/>
            </a:solidFill>
            <a:effectLst/>
            <a:latin typeface="+mn-lt"/>
            <a:ea typeface="+mn-ea"/>
            <a:cs typeface="+mn-cs"/>
          </a:endParaRPr>
        </a:p>
      </xdr:txBody>
    </xdr:sp>
    <xdr:clientData/>
  </xdr:twoCellAnchor>
  <xdr:twoCellAnchor editAs="oneCell">
    <xdr:from>
      <xdr:col>4</xdr:col>
      <xdr:colOff>262218</xdr:colOff>
      <xdr:row>33</xdr:row>
      <xdr:rowOff>92226</xdr:rowOff>
    </xdr:from>
    <xdr:to>
      <xdr:col>9</xdr:col>
      <xdr:colOff>109818</xdr:colOff>
      <xdr:row>41</xdr:row>
      <xdr:rowOff>134676</xdr:rowOff>
    </xdr:to>
    <xdr:pic>
      <xdr:nvPicPr>
        <xdr:cNvPr id="3" name="Picture 2">
          <a:extLst>
            <a:ext uri="{FF2B5EF4-FFF2-40B4-BE49-F238E27FC236}">
              <a16:creationId xmlns:a16="http://schemas.microsoft.com/office/drawing/2014/main" id="{1F9CC934-11F3-8DCB-4927-42FE877687DD}"/>
            </a:ext>
          </a:extLst>
        </xdr:cNvPr>
        <xdr:cNvPicPr>
          <a:picLocks noChangeAspect="1"/>
        </xdr:cNvPicPr>
      </xdr:nvPicPr>
      <xdr:blipFill>
        <a:blip xmlns:r="http://schemas.openxmlformats.org/officeDocument/2006/relationships" r:embed="rId1"/>
        <a:stretch>
          <a:fillRect/>
        </a:stretch>
      </xdr:blipFill>
      <xdr:spPr>
        <a:xfrm>
          <a:off x="2682689" y="6008932"/>
          <a:ext cx="2873188" cy="1476803"/>
        </a:xfrm>
        <a:prstGeom prst="rect">
          <a:avLst/>
        </a:prstGeom>
      </xdr:spPr>
    </xdr:pic>
    <xdr:clientData/>
  </xdr:twoCellAnchor>
  <xdr:twoCellAnchor editAs="oneCell">
    <xdr:from>
      <xdr:col>4</xdr:col>
      <xdr:colOff>139140</xdr:colOff>
      <xdr:row>44</xdr:row>
      <xdr:rowOff>16249</xdr:rowOff>
    </xdr:from>
    <xdr:to>
      <xdr:col>8</xdr:col>
      <xdr:colOff>487869</xdr:colOff>
      <xdr:row>50</xdr:row>
      <xdr:rowOff>38805</xdr:rowOff>
    </xdr:to>
    <xdr:pic>
      <xdr:nvPicPr>
        <xdr:cNvPr id="4" name="Picture 3">
          <a:extLst>
            <a:ext uri="{FF2B5EF4-FFF2-40B4-BE49-F238E27FC236}">
              <a16:creationId xmlns:a16="http://schemas.microsoft.com/office/drawing/2014/main" id="{CAC4735F-CB51-33BC-660C-50AA00A86E49}"/>
            </a:ext>
          </a:extLst>
        </xdr:cNvPr>
        <xdr:cNvPicPr>
          <a:picLocks noChangeAspect="1"/>
        </xdr:cNvPicPr>
      </xdr:nvPicPr>
      <xdr:blipFill>
        <a:blip xmlns:r="http://schemas.openxmlformats.org/officeDocument/2006/relationships" r:embed="rId2"/>
        <a:stretch>
          <a:fillRect/>
        </a:stretch>
      </xdr:blipFill>
      <xdr:spPr>
        <a:xfrm>
          <a:off x="2559611" y="7905190"/>
          <a:ext cx="2769199" cy="1098321"/>
        </a:xfrm>
        <a:prstGeom prst="rect">
          <a:avLst/>
        </a:prstGeom>
      </xdr:spPr>
    </xdr:pic>
    <xdr:clientData/>
  </xdr:twoCellAnchor>
  <xdr:twoCellAnchor editAs="oneCell">
    <xdr:from>
      <xdr:col>1</xdr:col>
      <xdr:colOff>382119</xdr:colOff>
      <xdr:row>67</xdr:row>
      <xdr:rowOff>92449</xdr:rowOff>
    </xdr:from>
    <xdr:to>
      <xdr:col>11</xdr:col>
      <xdr:colOff>411713</xdr:colOff>
      <xdr:row>72</xdr:row>
      <xdr:rowOff>7601</xdr:rowOff>
    </xdr:to>
    <xdr:pic>
      <xdr:nvPicPr>
        <xdr:cNvPr id="5" name="Picture 4">
          <a:extLst>
            <a:ext uri="{FF2B5EF4-FFF2-40B4-BE49-F238E27FC236}">
              <a16:creationId xmlns:a16="http://schemas.microsoft.com/office/drawing/2014/main" id="{09FA6347-B33E-6137-8CA7-AC71D70DF9F4}"/>
            </a:ext>
          </a:extLst>
        </xdr:cNvPr>
        <xdr:cNvPicPr>
          <a:picLocks noChangeAspect="1"/>
        </xdr:cNvPicPr>
      </xdr:nvPicPr>
      <xdr:blipFill>
        <a:blip xmlns:r="http://schemas.openxmlformats.org/officeDocument/2006/relationships" r:embed="rId3"/>
        <a:stretch>
          <a:fillRect/>
        </a:stretch>
      </xdr:blipFill>
      <xdr:spPr>
        <a:xfrm>
          <a:off x="987237" y="12105155"/>
          <a:ext cx="6080770" cy="811622"/>
        </a:xfrm>
        <a:prstGeom prst="rect">
          <a:avLst/>
        </a:prstGeom>
      </xdr:spPr>
    </xdr:pic>
    <xdr:clientData/>
  </xdr:twoCellAnchor>
  <xdr:twoCellAnchor editAs="oneCell">
    <xdr:from>
      <xdr:col>0</xdr:col>
      <xdr:colOff>228599</xdr:colOff>
      <xdr:row>8</xdr:row>
      <xdr:rowOff>142875</xdr:rowOff>
    </xdr:from>
    <xdr:to>
      <xdr:col>11</xdr:col>
      <xdr:colOff>519986</xdr:colOff>
      <xdr:row>29</xdr:row>
      <xdr:rowOff>114299</xdr:rowOff>
    </xdr:to>
    <xdr:pic>
      <xdr:nvPicPr>
        <xdr:cNvPr id="6" name="Picture 5">
          <a:extLst>
            <a:ext uri="{FF2B5EF4-FFF2-40B4-BE49-F238E27FC236}">
              <a16:creationId xmlns:a16="http://schemas.microsoft.com/office/drawing/2014/main" id="{E6298D54-D61E-403B-A391-3102D0884AAC}"/>
            </a:ext>
          </a:extLst>
        </xdr:cNvPr>
        <xdr:cNvPicPr>
          <a:picLocks noChangeAspect="1"/>
        </xdr:cNvPicPr>
      </xdr:nvPicPr>
      <xdr:blipFill>
        <a:blip xmlns:r="http://schemas.openxmlformats.org/officeDocument/2006/relationships" r:embed="rId4"/>
        <a:stretch>
          <a:fillRect/>
        </a:stretch>
      </xdr:blipFill>
      <xdr:spPr>
        <a:xfrm>
          <a:off x="228599" y="1590675"/>
          <a:ext cx="6996987" cy="3771899"/>
        </a:xfrm>
        <a:prstGeom prst="rect">
          <a:avLst/>
        </a:prstGeom>
      </xdr:spPr>
    </xdr:pic>
    <xdr:clientData/>
  </xdr:twoCellAnchor>
  <xdr:twoCellAnchor>
    <xdr:from>
      <xdr:col>9</xdr:col>
      <xdr:colOff>571500</xdr:colOff>
      <xdr:row>9</xdr:row>
      <xdr:rowOff>44824</xdr:rowOff>
    </xdr:from>
    <xdr:to>
      <xdr:col>11</xdr:col>
      <xdr:colOff>11206</xdr:colOff>
      <xdr:row>10</xdr:row>
      <xdr:rowOff>123265</xdr:rowOff>
    </xdr:to>
    <xdr:sp macro="" textlink="">
      <xdr:nvSpPr>
        <xdr:cNvPr id="7" name="Rectangle 6">
          <a:extLst>
            <a:ext uri="{FF2B5EF4-FFF2-40B4-BE49-F238E27FC236}">
              <a16:creationId xmlns:a16="http://schemas.microsoft.com/office/drawing/2014/main" id="{AEAAAA64-4E0D-2DBB-F46C-5FB373C6E21C}"/>
            </a:ext>
          </a:extLst>
        </xdr:cNvPr>
        <xdr:cNvSpPr/>
      </xdr:nvSpPr>
      <xdr:spPr>
        <a:xfrm>
          <a:off x="6017559" y="1658471"/>
          <a:ext cx="649941" cy="257735"/>
        </a:xfrm>
        <a:prstGeom prst="rect">
          <a:avLst/>
        </a:prstGeom>
        <a:solidFill>
          <a:schemeClr val="accent2">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B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93</xdr:col>
      <xdr:colOff>650874</xdr:colOff>
      <xdr:row>1</xdr:row>
      <xdr:rowOff>6350</xdr:rowOff>
    </xdr:from>
    <xdr:to>
      <xdr:col>118</xdr:col>
      <xdr:colOff>206375</xdr:colOff>
      <xdr:row>30</xdr:row>
      <xdr:rowOff>0</xdr:rowOff>
    </xdr:to>
    <xdr:sp macro="" textlink="">
      <xdr:nvSpPr>
        <xdr:cNvPr id="2" name="TextBox 1">
          <a:extLst>
            <a:ext uri="{FF2B5EF4-FFF2-40B4-BE49-F238E27FC236}">
              <a16:creationId xmlns:a16="http://schemas.microsoft.com/office/drawing/2014/main" id="{4BA59995-CD50-4BB5-AA51-A7588E823F63}"/>
            </a:ext>
          </a:extLst>
        </xdr:cNvPr>
        <xdr:cNvSpPr txBox="1"/>
      </xdr:nvSpPr>
      <xdr:spPr>
        <a:xfrm>
          <a:off x="56953149" y="390525"/>
          <a:ext cx="11766551" cy="51263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800" b="1" u="sng"/>
            <a:t>Classification</a:t>
          </a:r>
        </a:p>
        <a:p>
          <a:endParaRPr lang="en-US" sz="2000" b="1"/>
        </a:p>
        <a:p>
          <a:r>
            <a:rPr lang="en-US" sz="2000" b="1" u="none"/>
            <a:t>Catégorie 5 (</a:t>
          </a:r>
          <a:r>
            <a:rPr lang="en-US" sz="2000" b="1" u="sng"/>
            <a:t>80</a:t>
          </a:r>
          <a:r>
            <a:rPr lang="en-US" sz="2000" b="1" u="sng" baseline="0"/>
            <a:t> à 100% sur le scoring</a:t>
          </a:r>
          <a:r>
            <a:rPr lang="en-US" sz="2000" b="1" u="none" baseline="0"/>
            <a:t>) </a:t>
          </a:r>
          <a:r>
            <a:rPr lang="en-US" sz="2000" b="1"/>
            <a:t>= Substances</a:t>
          </a:r>
          <a:r>
            <a:rPr lang="en-US" sz="2000" b="1" baseline="0"/>
            <a:t> hautement prioritaires, méthode d'analyse fiable</a:t>
          </a:r>
        </a:p>
        <a:p>
          <a:r>
            <a:rPr lang="en-US" sz="2000" b="1" baseline="0"/>
            <a:t>	</a:t>
          </a:r>
          <a:r>
            <a:rPr lang="en-US" sz="2000" b="1" i="1" baseline="0"/>
            <a:t>5c = Substances hautement prioritaires, pas de méthode fiable </a:t>
          </a:r>
        </a:p>
        <a:p>
          <a:endParaRPr lang="en-US" sz="2000" b="1" i="1" baseline="0"/>
        </a:p>
        <a:p>
          <a:r>
            <a:rPr lang="en-US" sz="2000" b="1" i="1" baseline="0">
              <a:solidFill>
                <a:srgbClr val="FF0000"/>
              </a:solidFill>
            </a:rPr>
            <a:t>(par exemple : categorie ( 5 ou  10% les pires) + grande quantité etc.)...</a:t>
          </a:r>
        </a:p>
        <a:p>
          <a:endParaRPr lang="en-US" sz="2000" b="1" baseline="0"/>
        </a:p>
        <a:p>
          <a:r>
            <a:rPr lang="en-US" sz="2000" b="1" baseline="0"/>
            <a:t>Catégorie 4 (</a:t>
          </a:r>
          <a:r>
            <a:rPr lang="en-US" sz="2000" b="1" u="sng" baseline="0"/>
            <a:t>60 à 80% sur le scoring</a:t>
          </a:r>
          <a:r>
            <a:rPr lang="en-US" sz="2000" b="1" baseline="0"/>
            <a:t>) = Substances prioritaires, méthode d'analyse fiable</a:t>
          </a:r>
        </a:p>
        <a:p>
          <a:r>
            <a:rPr lang="en-US" sz="2000" b="1" baseline="0"/>
            <a:t>	</a:t>
          </a:r>
          <a:r>
            <a:rPr lang="en-US" sz="2000" b="1" i="1" baseline="0"/>
            <a:t>4c = Substances prioriatires, pas de méthode fiable</a:t>
          </a:r>
        </a:p>
        <a:p>
          <a:endParaRPr lang="en-US" sz="2000" b="1" baseline="0"/>
        </a:p>
        <a:p>
          <a:r>
            <a:rPr lang="en-US" sz="2000" b="1" baseline="0"/>
            <a:t>Catégorie 3 (</a:t>
          </a:r>
          <a:r>
            <a:rPr lang="en-US" sz="2000" b="1" u="sng" baseline="0"/>
            <a:t>40 à 60% sur le scoring</a:t>
          </a:r>
          <a:r>
            <a:rPr lang="en-US" sz="2000" b="1" baseline="0"/>
            <a:t>) = Substances moyennement prioritaires, méthode d'analyse fiable</a:t>
          </a:r>
        </a:p>
        <a:p>
          <a:r>
            <a:rPr lang="en-US" sz="2000" b="1" baseline="0"/>
            <a:t>	</a:t>
          </a:r>
          <a:r>
            <a:rPr lang="en-US" sz="2000" b="1" i="1" baseline="0"/>
            <a:t>3c = Substances moyennement prioritaires, pas de méthode fiable</a:t>
          </a:r>
        </a:p>
        <a:p>
          <a:endParaRPr lang="en-US" sz="2000" b="1" baseline="0"/>
        </a:p>
        <a:p>
          <a:r>
            <a:rPr lang="en-US" sz="2000" b="1" baseline="0"/>
            <a:t>Catégorie 2 (</a:t>
          </a:r>
          <a:r>
            <a:rPr lang="en-US" sz="2000" b="1" u="sng" baseline="0"/>
            <a:t>20 à 40% sur le scoring</a:t>
          </a:r>
          <a:r>
            <a:rPr lang="en-US" sz="2000" b="1" baseline="0"/>
            <a:t>)  = Substances très peu prioritaires, méthode d'analyse fiable</a:t>
          </a:r>
        </a:p>
        <a:p>
          <a:r>
            <a:rPr lang="en-US" sz="2000" b="1" baseline="0"/>
            <a:t>	</a:t>
          </a:r>
          <a:r>
            <a:rPr lang="en-US" sz="2000" b="1" i="1" baseline="0"/>
            <a:t>2c = Substances très peu prioritaires, pas de méthode fiable</a:t>
          </a:r>
        </a:p>
        <a:p>
          <a:endParaRPr lang="en-US" sz="2000" b="1" baseline="0"/>
        </a:p>
        <a:p>
          <a:r>
            <a:rPr lang="en-US" sz="2000" b="1" baseline="0"/>
            <a:t>Catégorie 1 (</a:t>
          </a:r>
          <a:r>
            <a:rPr lang="en-US" sz="2000" b="1" u="sng" baseline="0"/>
            <a:t>0 à 20% sur le scoring</a:t>
          </a:r>
          <a:r>
            <a:rPr lang="en-US" sz="2000" b="1" baseline="0"/>
            <a:t>) = Substances non prioritaires, méthode d'analyse fiable</a:t>
          </a:r>
        </a:p>
        <a:p>
          <a:r>
            <a:rPr lang="en-US" sz="2000" b="1" baseline="0"/>
            <a:t>	</a:t>
          </a:r>
          <a:r>
            <a:rPr lang="en-US" sz="2000" b="1" i="1" baseline="0"/>
            <a:t>1c =Substances non prioritaires, pas de méthode fiable</a:t>
          </a:r>
          <a:endParaRPr lang="en-US" sz="2000" b="1" i="1"/>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3E1AD43-078E-47D8-9526-4EF52999E4A9}" name="Table14623" displayName="Table14623" ref="A4:AC99" totalsRowShown="0" headerRowDxfId="36" dataDxfId="35" tableBorderDxfId="34">
  <autoFilter ref="A4:AC99" xr:uid="{9B518AFA-EAA5-405C-A58F-097FD568277F}"/>
  <tableColumns count="29">
    <tableColumn id="12" xr3:uid="{D41F3C9F-782C-40DE-B0F0-256C2AE65B9C}" name="Famille" dataDxfId="33"/>
    <tableColumn id="2" xr3:uid="{722ED64A-6427-4A3E-B38B-EDAA7E810532}" name="Nom_ECHA" dataDxfId="32"/>
    <tableColumn id="3" xr3:uid="{1FA016E8-BA9E-470C-8E1D-E76D4BF0E29A}" name="Acronyme_autre_nom" dataDxfId="31"/>
    <tableColumn id="23" xr3:uid="{AE489AA6-1E19-46E0-BCFF-EC6DA203435B}" name="N°EC/List" dataDxfId="30"/>
    <tableColumn id="4" xr3:uid="{AB158C7E-8E22-473D-8F50-927EF10F1998}" name="n_cas" dataDxfId="29"/>
    <tableColumn id="5" xr3:uid="{EF0C95F1-763F-4DEF-87FD-049F088BB95E}" name="Formule chimique" dataDxfId="28"/>
    <tableColumn id="6" xr3:uid="{A4DA6667-7A53-4E4A-B60A-FB91279D345C}" name="Formule SMILES" dataDxfId="27"/>
    <tableColumn id="9" xr3:uid="{4810D999-A231-4355-B2A4-D41A3A46AF8C}" name="Group" dataDxfId="26"/>
    <tableColumn id="10" xr3:uid="{EA82A2EC-09D9-4B9D-A94B-4B55DC2894A8}" name="Subgroup" dataDxfId="25"/>
    <tableColumn id="154" xr3:uid="{849E90DA-56D7-4087-B190-13F4716F1F3E}" name="Manufactered in and / or imported to the European Economic Area (ECHA)" dataDxfId="24"/>
    <tableColumn id="33" xr3:uid="{BD7119C3-D734-45F6-9533-21F15F3B7E49}" name="POP List" dataDxfId="23"/>
    <tableColumn id="41" xr3:uid="{3B016691-96B4-45C2-ABFA-AA617140C0DE}" name="Priority list EU" dataDxfId="22"/>
    <tableColumn id="40" xr3:uid="{A477188E-6007-430A-8B09-BF15402158E4}" name="NORMAN List" dataDxfId="21"/>
    <tableColumn id="43" xr3:uid="{3418BBA3-A4F4-4734-B115-9215D3534154}" name="REACH list (SVHC, Authorisation, Restriction)" dataDxfId="20"/>
    <tableColumn id="42" xr3:uid="{A949186D-D6DF-4528-961F-9249EA3C3D85}" name="PNN" dataDxfId="19"/>
    <tableColumn id="35" xr3:uid="{46E2DA2D-E087-49B1-B07F-5D0A684BD11E}" name="Watch list" dataDxfId="18"/>
    <tableColumn id="55" xr3:uid="{BB966C8A-E205-4D8D-AC02-0CB69996100C}" name="PBT/ vPvB" dataDxfId="17"/>
    <tableColumn id="29" xr3:uid="{0F8AA6DA-EB60-4AFF-AC14-9565249F7E06}" name="Ready biodegradability" dataDxfId="16"/>
    <tableColumn id="30" xr3:uid="{FAC73FD2-C89C-448C-AAF7-7B51958D1F6C}" name="Perturbateur Endocrinien" dataDxfId="15"/>
    <tableColumn id="7" xr3:uid="{B335F42F-F772-4393-BFC8-CF3BDE96E236}" name="Phrases H" dataDxfId="14"/>
    <tableColumn id="32" xr3:uid="{CAAB7107-E1AC-4EA3-98B3-2BA835F6C672}" name="Cancerogene" dataDxfId="13"/>
    <tableColumn id="19" xr3:uid="{9BB81968-6255-464A-A1DE-E04ADE7F4657}" name="phys6_solubilité_eau" dataDxfId="12"/>
    <tableColumn id="47" xr3:uid="{2A7A54C3-80D0-4575-8D0B-74B915DFDEA1}" name="phys7_pression_de_vapeur" dataDxfId="11"/>
    <tableColumn id="49" xr3:uid="{399AEBC7-E729-4BB7-ABC2-C25BB670841E}" name="phys8_constante_henry" dataDxfId="10"/>
    <tableColumn id="51" xr3:uid="{C0F0504E-2098-4AE3-847E-E43734172DC2}" name="phys11_log_kow" dataDxfId="9"/>
    <tableColumn id="26" xr3:uid="{19EB270D-B9AB-4B30-8F53-95E1F1856E9B}" name="phys11_T" dataDxfId="8"/>
    <tableColumn id="56" xr3:uid="{9ED6EDAF-3011-4B4A-AF28-3DA3F9CE48D2}" name="phys12_log_koc" dataDxfId="7"/>
    <tableColumn id="58" xr3:uid="{17423A4E-914A-4275-8A56-D5BF0CD1AB13}" name="phys12_coefficient_partage_carbone organique_eau_Koc" dataDxfId="6">
      <calculatedColumnFormula>SUBSTITUTE(#REF!,".",",")</calculatedColumnFormula>
    </tableColumn>
    <tableColumn id="52" xr3:uid="{EBAB3C77-9724-4922-B1A1-BFF5A6DF2C4E}" name="phys20_temperature d'ébullition" dataDxfId="5"/>
  </tableColumns>
  <tableStyleInfo name="TableStyleMedium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echa.europa.eu/fr/substance-information/-/substanceinfo/100.162.752" TargetMode="External"/><Relationship Id="rId7" Type="http://schemas.openxmlformats.org/officeDocument/2006/relationships/table" Target="../tables/table1.xml"/><Relationship Id="rId2" Type="http://schemas.openxmlformats.org/officeDocument/2006/relationships/hyperlink" Target="https://echa.europa.eu/fr/substance-information/-/substanceinfo/100.162.755" TargetMode="External"/><Relationship Id="rId1" Type="http://schemas.openxmlformats.org/officeDocument/2006/relationships/hyperlink" Target="https://echa.europa.eu/fr/substance-information/-/substanceinfo/100.217.289" TargetMode="External"/><Relationship Id="rId6" Type="http://schemas.openxmlformats.org/officeDocument/2006/relationships/drawing" Target="../drawings/drawing2.xml"/><Relationship Id="rId5" Type="http://schemas.openxmlformats.org/officeDocument/2006/relationships/printerSettings" Target="../printerSettings/printerSettings1.bin"/><Relationship Id="rId4" Type="http://schemas.openxmlformats.org/officeDocument/2006/relationships/hyperlink" Target="https://tools.wmflabs.org/magnustools/cas.php?cas=91-20-3&amp;language=fr&amp;title=Naphtal%C3%A8n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4C8F2-7FB2-40C1-A3F3-1197679D2BDA}">
  <dimension ref="A1"/>
  <sheetViews>
    <sheetView tabSelected="1" zoomScale="85" zoomScaleNormal="85" workbookViewId="0">
      <selection activeCell="U14" sqref="U14"/>
    </sheetView>
  </sheetViews>
  <sheetFormatPr defaultRowHeight="14.5" x14ac:dyDescent="0.35"/>
  <sheetData/>
  <sheetProtection algorithmName="SHA-512" hashValue="zlzJGn0Grpp3UulOrMlf6ERuxKLSsv37edExaken0FgbwN/3nLkAwgMYZq408mLav0wBJODL4UxmJrxY/oxuyw==" saltValue="jFFFQcquJI3XK4ilsMT/bA=="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9028F-5940-4EDC-BA08-36368C056223}">
  <dimension ref="A1:DQ184"/>
  <sheetViews>
    <sheetView zoomScale="60" zoomScaleNormal="40" workbookViewId="0">
      <pane xSplit="5" topLeftCell="AC1" activePane="topRight" state="frozen"/>
      <selection pane="topRight" activeCell="BV12" sqref="BV12"/>
    </sheetView>
  </sheetViews>
  <sheetFormatPr defaultColWidth="9.1796875" defaultRowHeight="30" customHeight="1" x14ac:dyDescent="0.35"/>
  <cols>
    <col min="1" max="1" width="21.26953125" style="17" customWidth="1"/>
    <col min="2" max="2" width="40" style="18" customWidth="1"/>
    <col min="3" max="3" width="20.81640625" style="10" customWidth="1"/>
    <col min="4" max="4" width="16.453125" style="10" customWidth="1"/>
    <col min="5" max="5" width="16.1796875" style="17" customWidth="1"/>
    <col min="6" max="6" width="19.453125" style="17" customWidth="1"/>
    <col min="7" max="7" width="62.453125" style="17" customWidth="1"/>
    <col min="8" max="8" width="19" style="17" customWidth="1"/>
    <col min="9" max="9" width="20.453125" style="50" customWidth="1"/>
    <col min="10" max="10" width="37.81640625" style="206" customWidth="1"/>
    <col min="11" max="16" width="16.81640625" style="17" customWidth="1"/>
    <col min="17" max="17" width="16.81640625" style="207" customWidth="1"/>
    <col min="18" max="18" width="16.81640625" style="208" customWidth="1"/>
    <col min="19" max="20" width="16.81640625" style="207" customWidth="1"/>
    <col min="21" max="21" width="16.81640625" style="209" customWidth="1"/>
    <col min="22" max="22" width="18.81640625" style="17" customWidth="1"/>
    <col min="23" max="23" width="23.54296875" style="17" customWidth="1"/>
    <col min="24" max="24" width="30.1796875" style="10" customWidth="1"/>
    <col min="25" max="25" width="25.453125" style="17" customWidth="1"/>
    <col min="26" max="26" width="18.81640625" style="17" customWidth="1"/>
    <col min="27" max="27" width="22.453125" style="10" customWidth="1"/>
    <col min="28" max="28" width="26.453125" style="17" customWidth="1"/>
    <col min="29" max="29" width="27" style="10" customWidth="1"/>
    <col min="30" max="30" width="28.81640625" style="10" hidden="1" customWidth="1"/>
    <col min="31" max="32" width="9.1796875" style="17" hidden="1" customWidth="1"/>
    <col min="33" max="33" width="7.1796875" style="17" hidden="1" customWidth="1"/>
    <col min="34" max="43" width="7.54296875" style="17" hidden="1" customWidth="1"/>
    <col min="44" max="44" width="29.26953125" style="17" hidden="1" customWidth="1"/>
    <col min="45" max="45" width="9.1796875" style="17" hidden="1" customWidth="1"/>
    <col min="46" max="47" width="21.54296875" style="17" hidden="1" customWidth="1"/>
    <col min="48" max="48" width="31.1796875" style="17" hidden="1" customWidth="1"/>
    <col min="49" max="49" width="25.54296875" style="17" hidden="1" customWidth="1"/>
    <col min="50" max="50" width="9.1796875" style="17" hidden="1" customWidth="1"/>
    <col min="51" max="51" width="34" style="17" hidden="1" customWidth="1"/>
    <col min="52" max="52" width="9.1796875" style="17" hidden="1" customWidth="1"/>
    <col min="53" max="54" width="14.1796875" style="17" hidden="1" customWidth="1"/>
    <col min="55" max="57" width="33.7265625" style="17" hidden="1" customWidth="1"/>
    <col min="58" max="58" width="12.1796875" style="17" hidden="1" customWidth="1"/>
    <col min="59" max="59" width="18.54296875" style="17" hidden="1" customWidth="1"/>
    <col min="60" max="60" width="23.81640625" style="17" hidden="1" customWidth="1"/>
    <col min="61" max="61" width="16.1796875" style="17" hidden="1" customWidth="1"/>
    <col min="62" max="62" width="32.26953125" style="17" hidden="1" customWidth="1"/>
    <col min="63" max="63" width="44" style="17" hidden="1" customWidth="1"/>
    <col min="64" max="64" width="9.1796875" style="17" hidden="1" customWidth="1"/>
    <col min="65" max="65" width="149.81640625" style="17" hidden="1" customWidth="1"/>
    <col min="66" max="70" width="9.1796875" style="17" hidden="1" customWidth="1"/>
    <col min="71" max="71" width="9.1796875" style="17" customWidth="1"/>
    <col min="72" max="72" width="14.1796875" style="17" customWidth="1"/>
    <col min="73" max="73" width="23.453125" style="17" customWidth="1"/>
    <col min="74" max="74" width="33.1796875" style="17" customWidth="1"/>
    <col min="75" max="75" width="32.26953125" style="17" customWidth="1"/>
    <col min="76" max="76" width="15.1796875" style="17" customWidth="1"/>
    <col min="77" max="77" width="29.453125" style="17" customWidth="1"/>
    <col min="78" max="78" width="26.54296875" style="17" customWidth="1"/>
    <col min="79" max="79" width="14.26953125" style="17" hidden="1" customWidth="1"/>
    <col min="80" max="80" width="41.54296875" style="10" hidden="1" customWidth="1"/>
    <col min="81" max="81" width="17.26953125" style="17" hidden="1" customWidth="1"/>
    <col min="82" max="85" width="14.26953125" style="17" hidden="1" customWidth="1"/>
    <col min="86" max="86" width="17" style="17" hidden="1" customWidth="1"/>
    <col min="87" max="87" width="7.81640625" style="17" hidden="1" customWidth="1"/>
    <col min="88" max="89" width="25.453125" style="17" hidden="1" customWidth="1"/>
    <col min="90" max="92" width="14.26953125" style="17" hidden="1" customWidth="1"/>
    <col min="93" max="93" width="21.54296875" style="17" hidden="1" customWidth="1"/>
    <col min="94" max="95" width="14.26953125" style="17" hidden="1" customWidth="1"/>
    <col min="96" max="96" width="15.7265625" style="17" hidden="1" customWidth="1"/>
    <col min="97" max="97" width="8" style="17" hidden="1" customWidth="1"/>
    <col min="98" max="98" width="13" style="17" hidden="1" customWidth="1"/>
    <col min="99" max="99" width="7.7265625" style="17" hidden="1" customWidth="1"/>
    <col min="100" max="100" width="9.1796875" style="17" hidden="1" customWidth="1"/>
    <col min="101" max="102" width="13" style="17" hidden="1" customWidth="1"/>
    <col min="103" max="119" width="9.1796875" style="17" hidden="1" customWidth="1"/>
    <col min="120" max="120" width="9.1796875" style="17" customWidth="1"/>
  </cols>
  <sheetData>
    <row r="1" spans="1:121" ht="30" customHeight="1" thickBot="1" x14ac:dyDescent="0.4">
      <c r="J1" s="17"/>
      <c r="Q1" s="17"/>
      <c r="R1" s="10"/>
      <c r="S1" s="17"/>
      <c r="T1" s="17"/>
      <c r="U1" s="17"/>
      <c r="AE1" s="224" t="s">
        <v>322</v>
      </c>
      <c r="AF1" s="225"/>
      <c r="AG1" s="225"/>
      <c r="AH1" s="225"/>
      <c r="AI1" s="225"/>
      <c r="AJ1" s="225"/>
      <c r="AK1" s="225"/>
      <c r="AL1" s="225"/>
      <c r="AM1" s="225"/>
      <c r="AN1" s="225"/>
      <c r="AO1" s="225"/>
      <c r="AP1" s="225"/>
      <c r="AQ1" s="225"/>
      <c r="AR1" s="226"/>
      <c r="AS1" s="51"/>
      <c r="AT1" s="224" t="s">
        <v>1266</v>
      </c>
      <c r="AU1" s="225"/>
      <c r="AV1" s="225"/>
      <c r="AW1" s="226"/>
      <c r="AX1" s="51"/>
      <c r="AY1" s="52" t="s">
        <v>348</v>
      </c>
      <c r="AZ1" s="51"/>
      <c r="BA1" s="224" t="s">
        <v>349</v>
      </c>
      <c r="BB1" s="225"/>
      <c r="BC1" s="225"/>
      <c r="BD1" s="225"/>
      <c r="BE1" s="225"/>
      <c r="BF1" s="225"/>
      <c r="BG1" s="225"/>
      <c r="BH1" s="225"/>
      <c r="BI1" s="225"/>
      <c r="BJ1" s="225"/>
      <c r="BK1" s="226"/>
      <c r="BM1" s="51"/>
    </row>
    <row r="2" spans="1:121" ht="30" customHeight="1" thickBot="1" x14ac:dyDescent="0.4">
      <c r="J2" s="17"/>
      <c r="Q2" s="17"/>
      <c r="R2" s="10"/>
      <c r="S2" s="17"/>
      <c r="T2" s="17"/>
      <c r="U2" s="17"/>
      <c r="AE2" s="227" t="s">
        <v>347</v>
      </c>
      <c r="AF2" s="228"/>
      <c r="AG2" s="228"/>
      <c r="AH2" s="228"/>
      <c r="AI2" s="228"/>
      <c r="AJ2" s="228"/>
      <c r="AK2" s="228"/>
      <c r="AL2" s="228"/>
      <c r="AM2" s="228"/>
      <c r="AN2" s="228"/>
      <c r="AO2" s="228"/>
      <c r="AP2" s="228"/>
      <c r="AQ2" s="229"/>
      <c r="AR2" s="53" t="s">
        <v>357</v>
      </c>
      <c r="AT2" s="224"/>
      <c r="AU2" s="230"/>
      <c r="AV2" s="54" t="s">
        <v>358</v>
      </c>
      <c r="AW2" s="55" t="s">
        <v>344</v>
      </c>
      <c r="AY2" s="56" t="s">
        <v>332</v>
      </c>
      <c r="BA2" s="231" t="s">
        <v>320</v>
      </c>
      <c r="BB2" s="232"/>
      <c r="BC2" s="233"/>
      <c r="BD2" s="234" t="s">
        <v>334</v>
      </c>
      <c r="BE2" s="233"/>
      <c r="BF2" s="234" t="s">
        <v>321</v>
      </c>
      <c r="BG2" s="232"/>
      <c r="BH2" s="232"/>
      <c r="BI2" s="233"/>
      <c r="BJ2" s="54" t="s">
        <v>352</v>
      </c>
      <c r="BK2" s="55" t="s">
        <v>353</v>
      </c>
      <c r="BM2" s="57" t="s">
        <v>340</v>
      </c>
      <c r="CB2" s="224" t="s">
        <v>407</v>
      </c>
      <c r="CC2" s="226"/>
      <c r="CH2" s="224" t="s">
        <v>405</v>
      </c>
      <c r="CI2" s="225"/>
      <c r="CJ2" s="225"/>
      <c r="CK2" s="225"/>
      <c r="CL2" s="225"/>
      <c r="CM2" s="225"/>
      <c r="CN2" s="226"/>
      <c r="CO2" s="58"/>
    </row>
    <row r="3" spans="1:121" ht="69" customHeight="1" thickBot="1" x14ac:dyDescent="0.4">
      <c r="J3" s="17"/>
      <c r="Q3" s="17"/>
      <c r="R3" s="10"/>
      <c r="S3" s="17"/>
      <c r="T3" s="17"/>
      <c r="U3" s="17"/>
      <c r="AE3" s="59">
        <v>20</v>
      </c>
      <c r="AF3" s="60">
        <v>20</v>
      </c>
      <c r="AG3" s="60">
        <v>20</v>
      </c>
      <c r="AH3" s="60">
        <v>20</v>
      </c>
      <c r="AI3" s="60">
        <v>20</v>
      </c>
      <c r="AJ3" s="60">
        <v>10</v>
      </c>
      <c r="AK3" s="60">
        <v>10</v>
      </c>
      <c r="AL3" s="60">
        <v>10</v>
      </c>
      <c r="AM3" s="60">
        <v>10</v>
      </c>
      <c r="AN3" s="60">
        <v>10</v>
      </c>
      <c r="AO3" s="60">
        <v>10</v>
      </c>
      <c r="AP3" s="60">
        <v>5</v>
      </c>
      <c r="AQ3" s="60">
        <v>5</v>
      </c>
      <c r="AR3" s="61"/>
      <c r="AT3" s="62"/>
      <c r="AU3" s="63"/>
      <c r="AV3" s="63"/>
      <c r="AW3" s="64"/>
      <c r="AY3" s="65"/>
      <c r="BA3" s="66"/>
      <c r="BB3" s="67"/>
      <c r="BC3" s="67"/>
      <c r="BD3" s="67"/>
      <c r="BE3" s="67"/>
      <c r="BF3" s="67"/>
      <c r="BG3" s="67"/>
      <c r="BH3" s="67"/>
      <c r="BI3" s="67"/>
      <c r="BJ3" s="67"/>
      <c r="BK3" s="68"/>
      <c r="BM3" s="69"/>
      <c r="BT3" s="224" t="s">
        <v>384</v>
      </c>
      <c r="BU3" s="225"/>
      <c r="BV3" s="225"/>
      <c r="BW3" s="225"/>
      <c r="BX3" s="225"/>
      <c r="BY3" s="225"/>
      <c r="BZ3" s="226"/>
      <c r="CB3" s="235" t="s">
        <v>393</v>
      </c>
      <c r="CC3" s="236"/>
      <c r="CE3" s="235" t="s">
        <v>402</v>
      </c>
      <c r="CF3" s="236"/>
      <c r="CG3" s="51"/>
      <c r="CH3" s="237" t="s">
        <v>405</v>
      </c>
      <c r="CI3" s="238"/>
      <c r="CJ3" s="237" t="s">
        <v>408</v>
      </c>
      <c r="CK3" s="239"/>
      <c r="CL3" s="239"/>
      <c r="CM3" s="239"/>
      <c r="CN3" s="238"/>
      <c r="CO3" s="70"/>
      <c r="CR3" s="224" t="s">
        <v>386</v>
      </c>
      <c r="CS3" s="225"/>
      <c r="CT3" s="230"/>
      <c r="CU3" s="71"/>
    </row>
    <row r="4" spans="1:121" s="1" customFormat="1" ht="56.5" customHeight="1" thickBot="1" x14ac:dyDescent="0.4">
      <c r="A4" s="8" t="s">
        <v>423</v>
      </c>
      <c r="B4" s="26" t="s">
        <v>0</v>
      </c>
      <c r="C4" s="8" t="s">
        <v>1</v>
      </c>
      <c r="D4" s="8" t="s">
        <v>1272</v>
      </c>
      <c r="E4" s="8" t="s">
        <v>2</v>
      </c>
      <c r="F4" s="8" t="s">
        <v>3</v>
      </c>
      <c r="G4" s="8" t="s">
        <v>4</v>
      </c>
      <c r="H4" s="8" t="s">
        <v>5</v>
      </c>
      <c r="I4" s="8" t="s">
        <v>6</v>
      </c>
      <c r="J4" s="8" t="s">
        <v>7</v>
      </c>
      <c r="K4" s="8" t="s">
        <v>8</v>
      </c>
      <c r="L4" s="8" t="s">
        <v>9</v>
      </c>
      <c r="M4" s="8" t="s">
        <v>10</v>
      </c>
      <c r="N4" s="8" t="s">
        <v>319</v>
      </c>
      <c r="O4" s="8" t="s">
        <v>11</v>
      </c>
      <c r="P4" s="8" t="s">
        <v>12</v>
      </c>
      <c r="Q4" s="8" t="s">
        <v>13</v>
      </c>
      <c r="R4" s="4" t="s">
        <v>14</v>
      </c>
      <c r="S4" s="8" t="s">
        <v>15</v>
      </c>
      <c r="T4" s="8" t="s">
        <v>16</v>
      </c>
      <c r="U4" s="8" t="s">
        <v>17</v>
      </c>
      <c r="V4" s="8" t="s">
        <v>18</v>
      </c>
      <c r="W4" s="8" t="s">
        <v>19</v>
      </c>
      <c r="X4" s="8" t="s">
        <v>20</v>
      </c>
      <c r="Y4" s="8" t="s">
        <v>21</v>
      </c>
      <c r="Z4" s="8" t="s">
        <v>22</v>
      </c>
      <c r="AA4" s="8" t="s">
        <v>23</v>
      </c>
      <c r="AB4" s="8" t="s">
        <v>24</v>
      </c>
      <c r="AC4" s="8" t="s">
        <v>25</v>
      </c>
      <c r="AD4" s="8"/>
      <c r="AE4" s="72" t="s">
        <v>13</v>
      </c>
      <c r="AF4" s="73" t="s">
        <v>15</v>
      </c>
      <c r="AG4" s="73" t="s">
        <v>324</v>
      </c>
      <c r="AH4" s="73" t="s">
        <v>325</v>
      </c>
      <c r="AI4" s="73" t="s">
        <v>326</v>
      </c>
      <c r="AJ4" s="73" t="s">
        <v>170</v>
      </c>
      <c r="AK4" s="73" t="s">
        <v>216</v>
      </c>
      <c r="AL4" s="73" t="s">
        <v>327</v>
      </c>
      <c r="AM4" s="73" t="s">
        <v>328</v>
      </c>
      <c r="AN4" s="73" t="s">
        <v>329</v>
      </c>
      <c r="AO4" s="73" t="s">
        <v>61</v>
      </c>
      <c r="AP4" s="73" t="s">
        <v>330</v>
      </c>
      <c r="AQ4" s="73" t="s">
        <v>331</v>
      </c>
      <c r="AR4" s="74" t="s">
        <v>322</v>
      </c>
      <c r="AS4" s="8"/>
      <c r="AT4" s="72"/>
      <c r="AU4" s="73"/>
      <c r="AV4" s="73"/>
      <c r="AW4" s="74"/>
      <c r="AX4" s="8"/>
      <c r="AY4" s="75"/>
      <c r="AZ4" s="8"/>
      <c r="BA4" s="76" t="s">
        <v>350</v>
      </c>
      <c r="BB4" s="77" t="s">
        <v>333</v>
      </c>
      <c r="BC4" s="77"/>
      <c r="BD4" s="77" t="s">
        <v>346</v>
      </c>
      <c r="BE4" s="77"/>
      <c r="BF4" s="77" t="s">
        <v>351</v>
      </c>
      <c r="BG4" s="77" t="s">
        <v>338</v>
      </c>
      <c r="BH4" s="77" t="s">
        <v>339</v>
      </c>
      <c r="BI4" s="77"/>
      <c r="BJ4" s="77"/>
      <c r="BK4" s="78" t="s">
        <v>343</v>
      </c>
      <c r="BL4" s="8"/>
      <c r="BM4" s="75"/>
      <c r="BN4" s="8"/>
      <c r="BO4" s="8"/>
      <c r="BP4" s="8"/>
      <c r="BQ4" s="8"/>
      <c r="BR4" s="8"/>
      <c r="BS4" s="8"/>
      <c r="BT4" s="27" t="s">
        <v>379</v>
      </c>
      <c r="BU4" s="28" t="s">
        <v>1267</v>
      </c>
      <c r="BV4" s="28" t="s">
        <v>380</v>
      </c>
      <c r="BW4" s="28" t="s">
        <v>381</v>
      </c>
      <c r="BX4" s="28" t="s">
        <v>321</v>
      </c>
      <c r="BY4" s="28" t="s">
        <v>382</v>
      </c>
      <c r="BZ4" s="29" t="s">
        <v>383</v>
      </c>
      <c r="CA4" s="8"/>
      <c r="CB4" s="79" t="s">
        <v>400</v>
      </c>
      <c r="CC4" s="80" t="s">
        <v>401</v>
      </c>
      <c r="CD4" s="8"/>
      <c r="CE4" s="81" t="s">
        <v>404</v>
      </c>
      <c r="CF4" s="82" t="s">
        <v>403</v>
      </c>
      <c r="CG4" s="8"/>
      <c r="CH4" s="81" t="s">
        <v>405</v>
      </c>
      <c r="CI4" s="83" t="s">
        <v>406</v>
      </c>
      <c r="CJ4" s="84">
        <v>0.05</v>
      </c>
      <c r="CK4" s="84">
        <v>0.1</v>
      </c>
      <c r="CL4" s="84">
        <v>0.25</v>
      </c>
      <c r="CM4" s="84">
        <v>0.5</v>
      </c>
      <c r="CN4" s="85">
        <v>0.75</v>
      </c>
      <c r="CO4" s="86"/>
      <c r="CP4" s="8"/>
      <c r="CQ4" s="8"/>
      <c r="CR4" s="87" t="s">
        <v>387</v>
      </c>
      <c r="CS4" s="88" t="s">
        <v>389</v>
      </c>
      <c r="CT4" s="89" t="s">
        <v>388</v>
      </c>
      <c r="CU4" s="90" t="s">
        <v>389</v>
      </c>
      <c r="CV4" s="8"/>
      <c r="CW4" s="91" t="s">
        <v>390</v>
      </c>
      <c r="CX4" s="91" t="s">
        <v>391</v>
      </c>
      <c r="CY4" s="8"/>
      <c r="CZ4" s="8"/>
      <c r="DA4" s="8"/>
      <c r="DB4" s="8"/>
      <c r="DC4" s="8"/>
      <c r="DD4" s="8"/>
      <c r="DE4" s="8"/>
      <c r="DF4" s="8"/>
      <c r="DG4" s="8"/>
      <c r="DH4" s="8"/>
      <c r="DI4" s="8"/>
      <c r="DJ4" s="8"/>
      <c r="DK4" s="8"/>
      <c r="DL4" s="8"/>
      <c r="DM4" s="8"/>
      <c r="DN4" s="8"/>
      <c r="DO4" s="8"/>
      <c r="DP4" s="8"/>
    </row>
    <row r="5" spans="1:121" ht="58.4" customHeight="1" x14ac:dyDescent="0.35">
      <c r="A5" s="4" t="s">
        <v>409</v>
      </c>
      <c r="B5" s="3" t="s">
        <v>35</v>
      </c>
      <c r="C5" s="4" t="s">
        <v>237</v>
      </c>
      <c r="D5" s="4" t="s">
        <v>36</v>
      </c>
      <c r="E5" s="4" t="s">
        <v>37</v>
      </c>
      <c r="F5" s="4" t="s">
        <v>38</v>
      </c>
      <c r="G5" s="4" t="s">
        <v>39</v>
      </c>
      <c r="H5" s="4" t="s">
        <v>27</v>
      </c>
      <c r="I5" s="4" t="s">
        <v>28</v>
      </c>
      <c r="J5" s="4" t="s">
        <v>238</v>
      </c>
      <c r="K5" s="4" t="s">
        <v>30</v>
      </c>
      <c r="L5" s="4"/>
      <c r="M5" s="4" t="s">
        <v>30</v>
      </c>
      <c r="N5" s="4" t="s">
        <v>30</v>
      </c>
      <c r="O5" s="4"/>
      <c r="P5" s="8"/>
      <c r="Q5" s="4" t="s">
        <v>30</v>
      </c>
      <c r="R5" s="4" t="s">
        <v>1276</v>
      </c>
      <c r="S5" s="4"/>
      <c r="T5" s="4" t="s">
        <v>33</v>
      </c>
      <c r="U5" s="4" t="s">
        <v>40</v>
      </c>
      <c r="V5" s="4" t="s">
        <v>248</v>
      </c>
      <c r="W5" s="4" t="s">
        <v>41</v>
      </c>
      <c r="X5" s="4" t="s">
        <v>268</v>
      </c>
      <c r="Y5" s="4" t="s">
        <v>281</v>
      </c>
      <c r="Z5" s="4" t="s">
        <v>32</v>
      </c>
      <c r="AA5" s="4" t="s">
        <v>299</v>
      </c>
      <c r="AB5" s="4" t="s">
        <v>31</v>
      </c>
      <c r="AC5" s="4" t="s">
        <v>42</v>
      </c>
      <c r="AD5" s="17"/>
      <c r="AE5" s="92" cm="1">
        <f t="array" ref="AE5">_xlfn.IFS(COUNTIF(Table14623[[#This Row],[PBT/ vPvB]],"*X*"), 20, TRUE, "")</f>
        <v>20</v>
      </c>
      <c r="AF5" s="93" t="str" cm="1">
        <f t="array" ref="AF5">_xlfn.IFS(COUNTIF(Table14623[[#This Row],[Perturbateur Endocrinien]],"*X*"), 20, TRUE, "")</f>
        <v/>
      </c>
      <c r="AG5" s="93" t="str" cm="1">
        <f t="array" ref="AG5">_xlfn.IFS(COUNTIF(Table14623[[#This Row],[Phrases H]],"*H350*"), 20, TRUE, "")</f>
        <v/>
      </c>
      <c r="AH5" s="93" t="str" cm="1">
        <f t="array" ref="AH5">_xlfn.IFS(COUNTIF(Table14623[[#This Row],[Phrases H]],"*H360*"), 20, TRUE, "")</f>
        <v/>
      </c>
      <c r="AI5" s="93" t="str" cm="1">
        <f t="array" ref="AI5">_xlfn.IFS(COUNTIF(Table14623[[#This Row],[Phrases H]],"*H340*"), 20, TRUE, "")</f>
        <v/>
      </c>
      <c r="AJ5" s="93" t="str" cm="1">
        <f t="array" ref="AJ5">_xlfn.IFS(COUNTIF(Table14623[[#This Row],[Phrases H]],"*H351*"), 10, TRUE, "")</f>
        <v/>
      </c>
      <c r="AK5" s="93" t="str" cm="1">
        <f t="array" ref="AK5">_xlfn.IFS(COUNTIF(Table14623[[#This Row],[Phrases H]],"*H361*"), 10, TRUE, "")</f>
        <v/>
      </c>
      <c r="AL5" s="93" t="str" cm="1">
        <f t="array" ref="AL5">_xlfn.IFS(COUNTIF(Table14623[[#This Row],[Phrases H]],"*H362*"), 10, TRUE, "")</f>
        <v/>
      </c>
      <c r="AM5" s="93" t="str" cm="1">
        <f t="array" ref="AM5">_xlfn.IFS(COUNTIF(Table14623[[#This Row],[Phrases H]],"*H341*"), 10, TRUE, "")</f>
        <v/>
      </c>
      <c r="AN5" s="93" t="str" cm="1">
        <f t="array" ref="AN5">_xlfn.IFS(COUNTIF(Table14623[[#This Row],[Phrases H]],"*H372*"), 10, TRUE, "")</f>
        <v/>
      </c>
      <c r="AO5" s="93" t="str" cm="1">
        <f t="array" ref="AO5">_xlfn.IFS(COUNTIF(Table14623[[#This Row],[Phrases H]],"*H410*"), 10, TRUE, "")</f>
        <v/>
      </c>
      <c r="AP5" s="93" t="str" cm="1">
        <f t="array" ref="AP5">_xlfn.IFS(COUNTIF(Table14623[[#This Row],[Phrases H]],"*H373*"), 5, TRUE, "")</f>
        <v/>
      </c>
      <c r="AQ5" s="93" t="str" cm="1">
        <f t="array" ref="AQ5">_xlfn.IFS(COUNTIF(Table14623[[#This Row],[Phrases H]],"*H411*"), 5, TRUE, "")</f>
        <v/>
      </c>
      <c r="AR5" s="94">
        <f t="shared" ref="AR5:AR22" si="0">SUM(AE5:AQ5)</f>
        <v>20</v>
      </c>
      <c r="AS5" s="95"/>
      <c r="AT5" s="96">
        <v>1000</v>
      </c>
      <c r="AU5" s="97" t="s">
        <v>337</v>
      </c>
      <c r="AV5" s="98">
        <f t="shared" ref="AV5" si="1">IF(AT5="N/A",0,IF(AT5&lt;=10,5,IF(AT5&lt;=100,10,IF(AT5&lt;=1000,15,IF(AT5&lt;=10000,20,25)))))</f>
        <v>15</v>
      </c>
      <c r="AW5" s="99" t="str">
        <f t="shared" ref="AW5:AW23" si="2">IF(AV5=25,"Production très élevée",IF(AV5=20,"Production élevée",IF(AV5=15,"Production modérée",IF(AV5=10,"Faible production",IF(AV5=5,"Très faible production","N/A")))))</f>
        <v>Production modérée</v>
      </c>
      <c r="AX5" s="95"/>
      <c r="AY5" s="100">
        <f t="shared" ref="AY5:AY23" si="3">AR5+AV5</f>
        <v>35</v>
      </c>
      <c r="BA5" s="96">
        <v>1E-4</v>
      </c>
      <c r="BB5" s="101">
        <f t="shared" ref="BB5:BB22" si="4">IF(BA5="N/A","N/A",IF(BA5&gt;=100000,50,(IF(BA5&gt;=1000,40,(IF(BA5&gt;=10,30,(IF(BA5&gt;0.1,20,(IF(BA5&lt;0.1,10,0))))))))))</f>
        <v>10</v>
      </c>
      <c r="BC5" s="98" t="str">
        <f t="shared" ref="BC5:BC22" si="5">IF(BB5="N/A","N/A",IF(BB5=50,"Très mobile",IF(BB5=40,"Mobile",IF(BB5=30,"Moyennement mobile",IF(BB5=20,"Peu mobile",IF(BB5=10,"Très peu mobile",""))))))</f>
        <v>Très peu mobile</v>
      </c>
      <c r="BD5" s="97" t="s">
        <v>299</v>
      </c>
      <c r="BE5" s="98" t="str">
        <f t="shared" ref="BE5:BE23" si="6">IF(BD5="N/A","N/A",IF(BD5&lt;2,"Très mobile",IF(BD5&lt;3,"Mobile","Non mobile")))</f>
        <v>Non mobile</v>
      </c>
      <c r="BF5" s="97">
        <v>959.2</v>
      </c>
      <c r="BG5" s="97">
        <v>0</v>
      </c>
      <c r="BH5" s="97">
        <v>2E-3</v>
      </c>
      <c r="BI5" s="98" t="str">
        <f>IF(OR(BF5="N/A",BG5="N/A",BH5="N/A"),"N/A",IF(AND(BF5&gt;200,BG5&gt;67,BH5&gt;0.5),"Volatile","Non volatil"))</f>
        <v>Non volatil</v>
      </c>
      <c r="BJ5" s="102" t="s">
        <v>354</v>
      </c>
      <c r="BK5" s="103" t="s">
        <v>378</v>
      </c>
      <c r="BM5" s="104" t="str">
        <f t="shared" ref="BM5:BM23" si="7">_xlfn.CONCAT(AR5,", ",AW5," (",AV5,")",", ",BC5," (solubilité), ",BE5," (log Koc), ",,BI5,", ",BJ5,",",BK5)</f>
        <v>20, Production modérée (15), Très peu mobile (solubilité), Non mobile (log Koc), Non volatil, Pas facilement biodégradable,EUROFINS,  SERVACO</v>
      </c>
      <c r="BT5" s="30">
        <v>20</v>
      </c>
      <c r="BU5" s="31" t="s">
        <v>359</v>
      </c>
      <c r="BV5" s="31" t="s">
        <v>364</v>
      </c>
      <c r="BW5" s="31" t="s">
        <v>361</v>
      </c>
      <c r="BX5" s="31" t="s">
        <v>362</v>
      </c>
      <c r="BY5" s="31" t="s">
        <v>363</v>
      </c>
      <c r="BZ5" s="32" t="s">
        <v>378</v>
      </c>
      <c r="CB5" s="105" t="s">
        <v>398</v>
      </c>
      <c r="CC5" s="106">
        <v>3</v>
      </c>
      <c r="CE5" s="107">
        <f t="shared" ref="CE5:CE36" si="8">(AR5/75)*70+(AV5/25)*15+(CC5/3)*15</f>
        <v>42.666666666666671</v>
      </c>
      <c r="CF5" s="108">
        <f t="shared" ref="CF5:CF23" si="9">CE5/79</f>
        <v>0.54008438818565407</v>
      </c>
      <c r="CG5" s="109"/>
      <c r="CH5" s="110" t="str">
        <f t="shared" ref="CH5:CH22" si="10">IF(CF5&lt;=0.2,"Catégorie 1",IF(CF5&lt;=0.4,"Catégorie 2",IF(CF5&lt;=0.6,"Catégorie 3",IF(CF5&lt;=0.8,"Catégorie 4","Catégorie 5"))))</f>
        <v>Catégorie 3</v>
      </c>
      <c r="CI5" s="111" t="str">
        <f t="shared" ref="CI5:CI22" si="11">IF(BZ5="N/A","c","")</f>
        <v/>
      </c>
      <c r="CJ5" s="112" t="str">
        <f t="shared" ref="CJ5:CJ36" si="12">IF(CE5&gt;=_xlfn.PERCENTILE.EXC($CE$5:$CE$27,0.95),"Top 5%","")</f>
        <v/>
      </c>
      <c r="CK5" s="112" t="str">
        <f t="shared" ref="CK5:CK36" si="13">IF(CE5&gt;=_xlfn.PERCENTILE.EXC($CE$5:$CE$27,0.9),"Top 10%","")</f>
        <v/>
      </c>
      <c r="CL5" s="113" t="str">
        <f t="shared" ref="CL5:CL36" si="14">IF(CE5&gt;=_xlfn.PERCENTILE.EXC($CE$5:$CE$27,0.75),"Top 25%","")</f>
        <v/>
      </c>
      <c r="CM5" s="113" t="str">
        <f t="shared" ref="CM5:CM36" si="15">IF(CE5&gt;=_xlfn.PERCENTILE.EXC($CE$5:$CE$27,0.5),"Top 50%","")</f>
        <v>Top 50%</v>
      </c>
      <c r="CN5" s="114" t="str">
        <f t="shared" ref="CN5:CN36" si="16">IF(CE5&gt;=_xlfn.PERCENTILE.EXC($CE$5:$CE$27,0.25),"Top 75%","")</f>
        <v>Top 75%</v>
      </c>
      <c r="CO5" s="115"/>
      <c r="CR5" s="116">
        <f t="shared" ref="CR5:CR15" si="17">IF(AND(BT5&gt;=0,BT5&lt;=15),1,IF(AND(BT5&gt;=16,BT5&lt;=30),2,IF(AND(BT5&gt;=31,BT5&lt;=45),3,IF(AND(BT5&gt;=46,BT5&lt;=60),4,IF(AND(BT5&gt;=61,BT5&lt;=75),5,"")))))</f>
        <v>2</v>
      </c>
      <c r="CS5" s="117" t="str">
        <f t="shared" ref="CS5:CS22" si="18">IF(BZ5="N/A","c","")</f>
        <v/>
      </c>
      <c r="CT5" s="118">
        <f t="shared" ref="CT5:CT27" si="19">IF(AND(AY5&gt;=0,AY5&lt;=18),1,IF(AND(AY5&gt;=19,AY5&lt;=36),2,IF(AND(AY5&gt;=37,AY5&lt;=54),3,IF(AND(AY5&gt;=55,AY5&lt;=72),4,IF(AND(AY5&gt;=73,AY5&lt;=90),5,"")))))</f>
        <v>2</v>
      </c>
      <c r="CU5" s="119" t="str">
        <f t="shared" ref="CU5:CU22" si="20">IF(BZ5="N/A","c","")</f>
        <v/>
      </c>
      <c r="CW5" s="120" t="str">
        <f t="shared" ref="CW5:CW23" si="21">_xlfn.CONCAT(CR5,CS5)</f>
        <v>2</v>
      </c>
      <c r="CX5" s="120" t="str">
        <f t="shared" ref="CX5:CX22" si="22">_xlfn.CONCAT(CT5,CU5)</f>
        <v>2</v>
      </c>
      <c r="DQ5" s="2"/>
    </row>
    <row r="6" spans="1:121" ht="50.5" customHeight="1" x14ac:dyDescent="0.35">
      <c r="A6" s="4" t="s">
        <v>409</v>
      </c>
      <c r="B6" s="3" t="s">
        <v>43</v>
      </c>
      <c r="C6" s="4" t="s">
        <v>236</v>
      </c>
      <c r="D6" s="4" t="s">
        <v>44</v>
      </c>
      <c r="E6" s="4" t="s">
        <v>45</v>
      </c>
      <c r="F6" s="4" t="s">
        <v>46</v>
      </c>
      <c r="G6" s="4" t="s">
        <v>47</v>
      </c>
      <c r="H6" s="4" t="s">
        <v>27</v>
      </c>
      <c r="I6" s="4" t="s">
        <v>28</v>
      </c>
      <c r="J6" s="4" t="s">
        <v>48</v>
      </c>
      <c r="K6" s="4"/>
      <c r="L6" s="4" t="s">
        <v>30</v>
      </c>
      <c r="M6" s="4" t="s">
        <v>30</v>
      </c>
      <c r="N6" s="4" t="s">
        <v>30</v>
      </c>
      <c r="O6" s="4"/>
      <c r="P6" s="8"/>
      <c r="Q6" s="4"/>
      <c r="R6" s="4" t="s">
        <v>31</v>
      </c>
      <c r="S6" s="4"/>
      <c r="T6" s="4" t="s">
        <v>49</v>
      </c>
      <c r="U6" s="4" t="s">
        <v>40</v>
      </c>
      <c r="V6" s="4" t="s">
        <v>249</v>
      </c>
      <c r="W6" s="4" t="s">
        <v>259</v>
      </c>
      <c r="X6" s="4" t="s">
        <v>269</v>
      </c>
      <c r="Y6" s="4" t="s">
        <v>282</v>
      </c>
      <c r="Z6" s="4">
        <v>25</v>
      </c>
      <c r="AA6" s="5">
        <f>LOG(1950)</f>
        <v>3.2900346113625178</v>
      </c>
      <c r="AB6" s="4" t="s">
        <v>300</v>
      </c>
      <c r="AC6" s="4" t="s">
        <v>50</v>
      </c>
      <c r="AD6" s="17"/>
      <c r="AE6" s="92" t="str" cm="1">
        <f t="array" ref="AE6">_xlfn.IFS(COUNTIF(Table14623[[#This Row],[PBT/ vPvB]],"*X*"), 20, TRUE, "")</f>
        <v/>
      </c>
      <c r="AF6" s="93" t="str" cm="1">
        <f t="array" ref="AF6">_xlfn.IFS(COUNTIF(Table14623[[#This Row],[Perturbateur Endocrinien]],"*X*"), 20, TRUE, "")</f>
        <v/>
      </c>
      <c r="AG6" s="93" t="str" cm="1">
        <f t="array" ref="AG6">_xlfn.IFS(COUNTIF(Table14623[[#This Row],[Phrases H]],"*H350*"), 20, TRUE, "")</f>
        <v/>
      </c>
      <c r="AH6" s="93" cm="1">
        <f t="array" ref="AH6">_xlfn.IFS(COUNTIF(Table14623[[#This Row],[Phrases H]],"*H360*"), 20, TRUE, "")</f>
        <v>20</v>
      </c>
      <c r="AI6" s="93" t="str" cm="1">
        <f t="array" ref="AI6">_xlfn.IFS(COUNTIF(Table14623[[#This Row],[Phrases H]],"*H340*"), 20, TRUE, "")</f>
        <v/>
      </c>
      <c r="AJ6" s="93" t="str" cm="1">
        <f t="array" ref="AJ6">_xlfn.IFS(COUNTIF(Table14623[[#This Row],[Phrases H]],"*H351*"), 10, TRUE, "")</f>
        <v/>
      </c>
      <c r="AK6" s="93" t="str" cm="1">
        <f t="array" ref="AK6">_xlfn.IFS(COUNTIF(Table14623[[#This Row],[Phrases H]],"*H361*"), 10, TRUE, "")</f>
        <v/>
      </c>
      <c r="AL6" s="93" t="str" cm="1">
        <f t="array" ref="AL6">_xlfn.IFS(COUNTIF(Table14623[[#This Row],[Phrases H]],"*H362*"), 10, TRUE, "")</f>
        <v/>
      </c>
      <c r="AM6" s="93" t="str" cm="1">
        <f t="array" ref="AM6">_xlfn.IFS(COUNTIF(Table14623[[#This Row],[Phrases H]],"*H341*"), 10, TRUE, "")</f>
        <v/>
      </c>
      <c r="AN6" s="93" t="str" cm="1">
        <f t="array" ref="AN6">_xlfn.IFS(COUNTIF(Table14623[[#This Row],[Phrases H]],"*H372*"), 10, TRUE, "")</f>
        <v/>
      </c>
      <c r="AO6" s="93" t="str" cm="1">
        <f t="array" ref="AO6">_xlfn.IFS(COUNTIF(Table14623[[#This Row],[Phrases H]],"*H410*"), 10, TRUE, "")</f>
        <v/>
      </c>
      <c r="AP6" s="93" t="str" cm="1">
        <f t="array" ref="AP6">_xlfn.IFS(COUNTIF(Table14623[[#This Row],[Phrases H]],"*H373*"), 5, TRUE, "")</f>
        <v/>
      </c>
      <c r="AQ6" s="93" t="str" cm="1">
        <f t="array" ref="AQ6">_xlfn.IFS(COUNTIF(Table14623[[#This Row],[Phrases H]],"*H411*"), 5, TRUE, "")</f>
        <v/>
      </c>
      <c r="AR6" s="94">
        <f t="shared" si="0"/>
        <v>20</v>
      </c>
      <c r="AS6" s="95"/>
      <c r="AT6" s="96" t="s">
        <v>335</v>
      </c>
      <c r="AU6" s="97" t="s">
        <v>337</v>
      </c>
      <c r="AV6" s="98">
        <f>IF(AT6="N/A",0,IF(AT6&lt;=10,5,IF(AT6&lt;=100,10,IF(AT6&lt;=1000,15,IF(AT6&lt;=10000,20,25)))))</f>
        <v>25</v>
      </c>
      <c r="AW6" s="99" t="str">
        <f t="shared" si="2"/>
        <v>Production très élevée</v>
      </c>
      <c r="AX6" s="95"/>
      <c r="AY6" s="100">
        <f t="shared" si="3"/>
        <v>45</v>
      </c>
      <c r="BA6" s="96">
        <v>5.0000000000000001E-3</v>
      </c>
      <c r="BB6" s="101">
        <f t="shared" si="4"/>
        <v>10</v>
      </c>
      <c r="BC6" s="98" t="str">
        <f t="shared" si="5"/>
        <v>Très peu mobile</v>
      </c>
      <c r="BD6" s="121">
        <f>LOG(1950)</f>
        <v>3.2900346113625178</v>
      </c>
      <c r="BE6" s="98" t="str">
        <f t="shared" si="6"/>
        <v>Non mobile</v>
      </c>
      <c r="BF6" s="97">
        <v>801.38</v>
      </c>
      <c r="BG6" s="97">
        <v>6.5899999999999996E-6</v>
      </c>
      <c r="BH6" s="97">
        <v>8.61</v>
      </c>
      <c r="BI6" s="98" t="str">
        <f t="shared" ref="BI6:BI19" si="23">IF(OR(BF6="N/A",BG6="N/A",BH6="N/A"),"N/A",IF(AND(BF6&gt;200,BG6&gt;67,BH6&gt;0.5),"Volatile","Non volatil"))</f>
        <v>Non volatil</v>
      </c>
      <c r="BJ6" s="102" t="s">
        <v>31</v>
      </c>
      <c r="BK6" s="103" t="s">
        <v>341</v>
      </c>
      <c r="BM6" s="104" t="str">
        <f t="shared" si="7"/>
        <v>20, Production très élevée (25), Très peu mobile (solubilité), Non mobile (log Koc), Non volatil, N/A,EUROFINS</v>
      </c>
      <c r="BT6" s="30">
        <v>20</v>
      </c>
      <c r="BU6" s="31" t="s">
        <v>365</v>
      </c>
      <c r="BV6" s="31" t="s">
        <v>364</v>
      </c>
      <c r="BW6" s="31" t="s">
        <v>361</v>
      </c>
      <c r="BX6" s="31" t="s">
        <v>362</v>
      </c>
      <c r="BY6" s="31" t="s">
        <v>366</v>
      </c>
      <c r="BZ6" s="32" t="s">
        <v>341</v>
      </c>
      <c r="CB6" s="105" t="s">
        <v>399</v>
      </c>
      <c r="CC6" s="106">
        <v>2</v>
      </c>
      <c r="CE6" s="107">
        <f t="shared" si="8"/>
        <v>43.666666666666671</v>
      </c>
      <c r="CF6" s="108">
        <f t="shared" si="9"/>
        <v>0.5527426160337553</v>
      </c>
      <c r="CG6" s="109"/>
      <c r="CH6" s="110" t="str">
        <f t="shared" si="10"/>
        <v>Catégorie 3</v>
      </c>
      <c r="CI6" s="111" t="str">
        <f t="shared" si="11"/>
        <v/>
      </c>
      <c r="CJ6" s="112" t="str">
        <f t="shared" si="12"/>
        <v/>
      </c>
      <c r="CK6" s="112" t="str">
        <f t="shared" si="13"/>
        <v/>
      </c>
      <c r="CL6" s="113" t="str">
        <f t="shared" si="14"/>
        <v/>
      </c>
      <c r="CM6" s="113" t="str">
        <f t="shared" si="15"/>
        <v>Top 50%</v>
      </c>
      <c r="CN6" s="114" t="str">
        <f t="shared" si="16"/>
        <v>Top 75%</v>
      </c>
      <c r="CO6" s="115"/>
      <c r="CR6" s="116">
        <f t="shared" si="17"/>
        <v>2</v>
      </c>
      <c r="CS6" s="117" t="str">
        <f t="shared" si="18"/>
        <v/>
      </c>
      <c r="CT6" s="118">
        <f t="shared" si="19"/>
        <v>3</v>
      </c>
      <c r="CU6" s="119" t="str">
        <f t="shared" si="20"/>
        <v/>
      </c>
      <c r="CW6" s="120" t="str">
        <f t="shared" si="21"/>
        <v>2</v>
      </c>
      <c r="CX6" s="120" t="str">
        <f t="shared" si="22"/>
        <v>3</v>
      </c>
    </row>
    <row r="7" spans="1:121" ht="41.5" customHeight="1" x14ac:dyDescent="0.35">
      <c r="A7" s="4" t="s">
        <v>409</v>
      </c>
      <c r="B7" s="3" t="s">
        <v>55</v>
      </c>
      <c r="C7" s="4" t="s">
        <v>56</v>
      </c>
      <c r="D7" s="4" t="s">
        <v>57</v>
      </c>
      <c r="E7" s="4" t="s">
        <v>58</v>
      </c>
      <c r="F7" s="4" t="s">
        <v>59</v>
      </c>
      <c r="G7" s="4" t="s">
        <v>60</v>
      </c>
      <c r="H7" s="4" t="s">
        <v>27</v>
      </c>
      <c r="I7" s="4" t="s">
        <v>28</v>
      </c>
      <c r="J7" s="4" t="s">
        <v>239</v>
      </c>
      <c r="K7" s="4" t="s">
        <v>30</v>
      </c>
      <c r="L7" s="4" t="s">
        <v>30</v>
      </c>
      <c r="M7" s="4" t="s">
        <v>30</v>
      </c>
      <c r="N7" s="4" t="s">
        <v>30</v>
      </c>
      <c r="O7" s="4"/>
      <c r="P7" s="8"/>
      <c r="Q7" s="4" t="s">
        <v>30</v>
      </c>
      <c r="R7" s="4" t="s">
        <v>1273</v>
      </c>
      <c r="S7" s="4"/>
      <c r="T7" s="4" t="s">
        <v>61</v>
      </c>
      <c r="U7" s="4" t="s">
        <v>31</v>
      </c>
      <c r="V7" s="4" t="s">
        <v>250</v>
      </c>
      <c r="W7" s="4" t="s">
        <v>41</v>
      </c>
      <c r="X7" s="4" t="s">
        <v>271</v>
      </c>
      <c r="Y7" s="4" t="s">
        <v>283</v>
      </c>
      <c r="Z7" s="4">
        <v>25</v>
      </c>
      <c r="AA7" s="4" t="s">
        <v>62</v>
      </c>
      <c r="AB7" s="4" t="s">
        <v>32</v>
      </c>
      <c r="AC7" s="4" t="s">
        <v>63</v>
      </c>
      <c r="AD7" s="17"/>
      <c r="AE7" s="92" cm="1">
        <f t="array" ref="AE7">_xlfn.IFS(COUNTIF(Table14623[[#This Row],[PBT/ vPvB]],"*X*"), 20, TRUE, "")</f>
        <v>20</v>
      </c>
      <c r="AF7" s="93" t="str" cm="1">
        <f t="array" ref="AF7">_xlfn.IFS(COUNTIF(Table14623[[#This Row],[Perturbateur Endocrinien]],"*X*"), 20, TRUE, "")</f>
        <v/>
      </c>
      <c r="AG7" s="93" t="str" cm="1">
        <f t="array" ref="AG7">_xlfn.IFS(COUNTIF(Table14623[[#This Row],[Phrases H]],"*H350*"), 20, TRUE, "")</f>
        <v/>
      </c>
      <c r="AH7" s="93" t="str" cm="1">
        <f t="array" ref="AH7">_xlfn.IFS(COUNTIF(Table14623[[#This Row],[Phrases H]],"*H360*"), 20, TRUE, "")</f>
        <v/>
      </c>
      <c r="AI7" s="93" t="str" cm="1">
        <f t="array" ref="AI7">_xlfn.IFS(COUNTIF(Table14623[[#This Row],[Phrases H]],"*H340*"), 20, TRUE, "")</f>
        <v/>
      </c>
      <c r="AJ7" s="93" t="str" cm="1">
        <f t="array" ref="AJ7">_xlfn.IFS(COUNTIF(Table14623[[#This Row],[Phrases H]],"*H351*"), 10, TRUE, "")</f>
        <v/>
      </c>
      <c r="AK7" s="93" t="str" cm="1">
        <f t="array" ref="AK7">_xlfn.IFS(COUNTIF(Table14623[[#This Row],[Phrases H]],"*H361*"), 10, TRUE, "")</f>
        <v/>
      </c>
      <c r="AL7" s="93" t="str" cm="1">
        <f t="array" ref="AL7">_xlfn.IFS(COUNTIF(Table14623[[#This Row],[Phrases H]],"*H362*"), 10, TRUE, "")</f>
        <v/>
      </c>
      <c r="AM7" s="93" t="str" cm="1">
        <f t="array" ref="AM7">_xlfn.IFS(COUNTIF(Table14623[[#This Row],[Phrases H]],"*H341*"), 10, TRUE, "")</f>
        <v/>
      </c>
      <c r="AN7" s="93" t="str" cm="1">
        <f t="array" ref="AN7">_xlfn.IFS(COUNTIF(Table14623[[#This Row],[Phrases H]],"*H372*"), 10, TRUE, "")</f>
        <v/>
      </c>
      <c r="AO7" s="93" cm="1">
        <f t="array" ref="AO7">_xlfn.IFS(COUNTIF(Table14623[[#This Row],[Phrases H]],"*H410*"), 10, TRUE, "")</f>
        <v>10</v>
      </c>
      <c r="AP7" s="93" t="str" cm="1">
        <f t="array" ref="AP7">_xlfn.IFS(COUNTIF(Table14623[[#This Row],[Phrases H]],"*H373*"), 5, TRUE, "")</f>
        <v/>
      </c>
      <c r="AQ7" s="93" t="str" cm="1">
        <f t="array" ref="AQ7">_xlfn.IFS(COUNTIF(Table14623[[#This Row],[Phrases H]],"*H411*"), 5, TRUE, "")</f>
        <v/>
      </c>
      <c r="AR7" s="94">
        <f t="shared" si="0"/>
        <v>30</v>
      </c>
      <c r="AS7" s="95"/>
      <c r="AT7" s="96">
        <v>50000</v>
      </c>
      <c r="AU7" s="97" t="s">
        <v>337</v>
      </c>
      <c r="AV7" s="98">
        <f t="shared" ref="AV7:AV24" si="24">IF(AT7="N/A",0,IF(AT7&lt;=10,5,IF(AT7&lt;=100,10,IF(AT7&lt;=1000,15,IF(AT7&lt;=10000,20,25)))))</f>
        <v>25</v>
      </c>
      <c r="AW7" s="99" t="str">
        <f t="shared" si="2"/>
        <v>Production très élevée</v>
      </c>
      <c r="AX7" s="95"/>
      <c r="AY7" s="100">
        <f t="shared" si="3"/>
        <v>55</v>
      </c>
      <c r="BA7" s="96">
        <v>6.5600000000000006E-2</v>
      </c>
      <c r="BB7" s="101">
        <f t="shared" si="4"/>
        <v>10</v>
      </c>
      <c r="BC7" s="98" t="str">
        <f t="shared" si="5"/>
        <v>Très peu mobile</v>
      </c>
      <c r="BD7" s="97" t="s">
        <v>62</v>
      </c>
      <c r="BE7" s="98" t="str">
        <f t="shared" si="6"/>
        <v>Non mobile</v>
      </c>
      <c r="BF7" s="97">
        <v>641.70000000000005</v>
      </c>
      <c r="BG7" s="97">
        <v>0</v>
      </c>
      <c r="BH7" s="97">
        <v>0.75</v>
      </c>
      <c r="BI7" s="98" t="str">
        <f t="shared" si="23"/>
        <v>Non volatil</v>
      </c>
      <c r="BJ7" s="102" t="s">
        <v>356</v>
      </c>
      <c r="BK7" s="103" t="s">
        <v>378</v>
      </c>
      <c r="BM7" s="104" t="str">
        <f t="shared" si="7"/>
        <v>30, Production très élevée (25), Très peu mobile (solubilité), Non mobile (log Koc), Non volatil, Biodégradable par nature,EUROFINS,  SERVACO</v>
      </c>
      <c r="BT7" s="30">
        <v>30</v>
      </c>
      <c r="BU7" s="31" t="s">
        <v>365</v>
      </c>
      <c r="BV7" s="31" t="s">
        <v>364</v>
      </c>
      <c r="BW7" s="31" t="s">
        <v>361</v>
      </c>
      <c r="BX7" s="31" t="s">
        <v>362</v>
      </c>
      <c r="BY7" s="31" t="s">
        <v>370</v>
      </c>
      <c r="BZ7" s="32" t="s">
        <v>378</v>
      </c>
      <c r="CB7" s="9" t="s">
        <v>394</v>
      </c>
      <c r="CC7" s="106">
        <v>3</v>
      </c>
      <c r="CE7" s="107">
        <f t="shared" si="8"/>
        <v>58</v>
      </c>
      <c r="CF7" s="108">
        <f t="shared" si="9"/>
        <v>0.73417721518987344</v>
      </c>
      <c r="CG7" s="109"/>
      <c r="CH7" s="110" t="str">
        <f>IF(CF7&lt;=0.2,"Catégorie 1",IF(CF7&lt;=0.4,"Catégorie 2",IF(CF7&lt;=0.6,"Catégorie 3",IF(CF7&lt;=0.8,"Catégorie 4","Catégorie 5"))))</f>
        <v>Catégorie 4</v>
      </c>
      <c r="CI7" s="111" t="str">
        <f t="shared" si="11"/>
        <v/>
      </c>
      <c r="CJ7" s="112" t="str">
        <f t="shared" si="12"/>
        <v/>
      </c>
      <c r="CK7" s="112" t="str">
        <f t="shared" si="13"/>
        <v/>
      </c>
      <c r="CL7" s="113" t="str">
        <f t="shared" si="14"/>
        <v>Top 25%</v>
      </c>
      <c r="CM7" s="113" t="str">
        <f t="shared" si="15"/>
        <v>Top 50%</v>
      </c>
      <c r="CN7" s="114" t="str">
        <f t="shared" si="16"/>
        <v>Top 75%</v>
      </c>
      <c r="CO7" s="115"/>
      <c r="CR7" s="116">
        <f t="shared" si="17"/>
        <v>2</v>
      </c>
      <c r="CS7" s="117" t="str">
        <f t="shared" si="18"/>
        <v/>
      </c>
      <c r="CT7" s="118">
        <f t="shared" si="19"/>
        <v>4</v>
      </c>
      <c r="CU7" s="119" t="str">
        <f t="shared" si="20"/>
        <v/>
      </c>
      <c r="CW7" s="120" t="str">
        <f t="shared" si="21"/>
        <v>2</v>
      </c>
      <c r="CX7" s="120" t="str">
        <f t="shared" si="22"/>
        <v>4</v>
      </c>
      <c r="DQ7" s="2"/>
    </row>
    <row r="8" spans="1:121" ht="46.4" customHeight="1" x14ac:dyDescent="0.35">
      <c r="A8" s="4" t="s">
        <v>409</v>
      </c>
      <c r="B8" s="3" t="s">
        <v>235</v>
      </c>
      <c r="C8" s="4" t="s">
        <v>64</v>
      </c>
      <c r="D8" s="4" t="s">
        <v>65</v>
      </c>
      <c r="E8" s="4" t="s">
        <v>66</v>
      </c>
      <c r="F8" s="4" t="s">
        <v>59</v>
      </c>
      <c r="G8" s="4" t="s">
        <v>54</v>
      </c>
      <c r="H8" s="4" t="s">
        <v>27</v>
      </c>
      <c r="I8" s="4" t="s">
        <v>28</v>
      </c>
      <c r="J8" s="4" t="s">
        <v>31</v>
      </c>
      <c r="K8" s="4" t="s">
        <v>30</v>
      </c>
      <c r="L8" s="4"/>
      <c r="M8" s="4"/>
      <c r="N8" s="4" t="s">
        <v>30</v>
      </c>
      <c r="O8" s="4"/>
      <c r="P8" s="8"/>
      <c r="Q8" s="4" t="s">
        <v>30</v>
      </c>
      <c r="R8" s="4" t="s">
        <v>31</v>
      </c>
      <c r="S8" s="4"/>
      <c r="T8" s="4" t="s">
        <v>31</v>
      </c>
      <c r="U8" s="4" t="s">
        <v>31</v>
      </c>
      <c r="V8" s="4" t="s">
        <v>251</v>
      </c>
      <c r="W8" s="4" t="s">
        <v>260</v>
      </c>
      <c r="X8" s="4" t="s">
        <v>270</v>
      </c>
      <c r="Y8" s="4" t="s">
        <v>284</v>
      </c>
      <c r="Z8" s="4" t="s">
        <v>32</v>
      </c>
      <c r="AA8" s="5">
        <f>LOG(7590)</f>
        <v>3.8802417758954801</v>
      </c>
      <c r="AB8" s="4" t="s">
        <v>301</v>
      </c>
      <c r="AC8" s="4" t="s">
        <v>67</v>
      </c>
      <c r="AD8" s="17"/>
      <c r="AE8" s="92" cm="1">
        <f t="array" ref="AE8">_xlfn.IFS(COUNTIF(Table14623[[#This Row],[PBT/ vPvB]],"*X*"), 20, TRUE, "")</f>
        <v>20</v>
      </c>
      <c r="AF8" s="93" t="str" cm="1">
        <f t="array" ref="AF8">_xlfn.IFS(COUNTIF(Table14623[[#This Row],[Perturbateur Endocrinien]],"*X*"), 20, TRUE, "")</f>
        <v/>
      </c>
      <c r="AG8" s="93" t="str" cm="1">
        <f t="array" ref="AG8">_xlfn.IFS(COUNTIF(Table14623[[#This Row],[Phrases H]],"*H350*"), 20, TRUE, "")</f>
        <v/>
      </c>
      <c r="AH8" s="93" t="str" cm="1">
        <f t="array" ref="AH8">_xlfn.IFS(COUNTIF(Table14623[[#This Row],[Phrases H]],"*H360*"), 20, TRUE, "")</f>
        <v/>
      </c>
      <c r="AI8" s="93" t="str" cm="1">
        <f t="array" ref="AI8">_xlfn.IFS(COUNTIF(Table14623[[#This Row],[Phrases H]],"*H340*"), 20, TRUE, "")</f>
        <v/>
      </c>
      <c r="AJ8" s="93" t="str" cm="1">
        <f t="array" ref="AJ8">_xlfn.IFS(COUNTIF(Table14623[[#This Row],[Phrases H]],"*H351*"), 10, TRUE, "")</f>
        <v/>
      </c>
      <c r="AK8" s="93" t="str" cm="1">
        <f t="array" ref="AK8">_xlfn.IFS(COUNTIF(Table14623[[#This Row],[Phrases H]],"*H361*"), 10, TRUE, "")</f>
        <v/>
      </c>
      <c r="AL8" s="93" t="str" cm="1">
        <f t="array" ref="AL8">_xlfn.IFS(COUNTIF(Table14623[[#This Row],[Phrases H]],"*H362*"), 10, TRUE, "")</f>
        <v/>
      </c>
      <c r="AM8" s="93" t="str" cm="1">
        <f t="array" ref="AM8">_xlfn.IFS(COUNTIF(Table14623[[#This Row],[Phrases H]],"*H341*"), 10, TRUE, "")</f>
        <v/>
      </c>
      <c r="AN8" s="93" t="str" cm="1">
        <f t="array" ref="AN8">_xlfn.IFS(COUNTIF(Table14623[[#This Row],[Phrases H]],"*H372*"), 10, TRUE, "")</f>
        <v/>
      </c>
      <c r="AO8" s="93" t="str" cm="1">
        <f t="array" ref="AO8">_xlfn.IFS(COUNTIF(Table14623[[#This Row],[Phrases H]],"*H410*"), 10, TRUE, "")</f>
        <v/>
      </c>
      <c r="AP8" s="93" t="str" cm="1">
        <f t="array" ref="AP8">_xlfn.IFS(COUNTIF(Table14623[[#This Row],[Phrases H]],"*H373*"), 5, TRUE, "")</f>
        <v/>
      </c>
      <c r="AQ8" s="93" t="str" cm="1">
        <f t="array" ref="AQ8">_xlfn.IFS(COUNTIF(Table14623[[#This Row],[Phrases H]],"*H411*"), 5, TRUE, "")</f>
        <v/>
      </c>
      <c r="AR8" s="94">
        <f t="shared" si="0"/>
        <v>20</v>
      </c>
      <c r="AS8" s="95"/>
      <c r="AT8" s="96" t="s">
        <v>31</v>
      </c>
      <c r="AU8" s="97" t="s">
        <v>337</v>
      </c>
      <c r="AV8" s="98">
        <f t="shared" si="24"/>
        <v>0</v>
      </c>
      <c r="AW8" s="99" t="str">
        <f t="shared" si="2"/>
        <v>N/A</v>
      </c>
      <c r="AX8" s="95"/>
      <c r="AY8" s="100">
        <f t="shared" si="3"/>
        <v>20</v>
      </c>
      <c r="BA8" s="96">
        <v>0.1166734</v>
      </c>
      <c r="BB8" s="101">
        <f t="shared" si="4"/>
        <v>20</v>
      </c>
      <c r="BC8" s="98" t="str">
        <f t="shared" si="5"/>
        <v>Peu mobile</v>
      </c>
      <c r="BD8" s="121">
        <f>LOG(7590)</f>
        <v>3.8802417758954801</v>
      </c>
      <c r="BE8" s="98" t="str">
        <f t="shared" si="6"/>
        <v>Non mobile</v>
      </c>
      <c r="BF8" s="97">
        <v>641.70000000000005</v>
      </c>
      <c r="BG8" s="97">
        <v>3.1179000000000001E-5</v>
      </c>
      <c r="BH8" s="97">
        <v>312.57974999999999</v>
      </c>
      <c r="BI8" s="98" t="str">
        <f t="shared" si="23"/>
        <v>Non volatil</v>
      </c>
      <c r="BJ8" s="102" t="s">
        <v>31</v>
      </c>
      <c r="BK8" s="103" t="s">
        <v>341</v>
      </c>
      <c r="BM8" s="104" t="str">
        <f t="shared" si="7"/>
        <v>20, N/A (0), Peu mobile (solubilité), Non mobile (log Koc), Non volatil, N/A,EUROFINS</v>
      </c>
      <c r="BT8" s="30">
        <v>20</v>
      </c>
      <c r="BU8" s="31" t="s">
        <v>366</v>
      </c>
      <c r="BV8" s="31" t="s">
        <v>371</v>
      </c>
      <c r="BW8" s="31" t="s">
        <v>361</v>
      </c>
      <c r="BX8" s="31" t="s">
        <v>362</v>
      </c>
      <c r="BY8" s="31" t="s">
        <v>366</v>
      </c>
      <c r="BZ8" s="32" t="s">
        <v>341</v>
      </c>
      <c r="CB8" s="105"/>
      <c r="CC8" s="106">
        <v>0</v>
      </c>
      <c r="CE8" s="107">
        <f t="shared" si="8"/>
        <v>18.666666666666668</v>
      </c>
      <c r="CF8" s="108">
        <f t="shared" si="9"/>
        <v>0.23628691983122366</v>
      </c>
      <c r="CG8" s="109"/>
      <c r="CH8" s="110" t="str">
        <f t="shared" si="10"/>
        <v>Catégorie 2</v>
      </c>
      <c r="CI8" s="111" t="str">
        <f t="shared" si="11"/>
        <v/>
      </c>
      <c r="CJ8" s="112" t="str">
        <f t="shared" si="12"/>
        <v/>
      </c>
      <c r="CK8" s="112" t="str">
        <f t="shared" si="13"/>
        <v/>
      </c>
      <c r="CL8" s="113" t="str">
        <f t="shared" si="14"/>
        <v/>
      </c>
      <c r="CM8" s="113" t="str">
        <f t="shared" si="15"/>
        <v/>
      </c>
      <c r="CN8" s="114" t="str">
        <f t="shared" si="16"/>
        <v/>
      </c>
      <c r="CO8" s="115"/>
      <c r="CR8" s="116">
        <f t="shared" si="17"/>
        <v>2</v>
      </c>
      <c r="CS8" s="117" t="str">
        <f t="shared" si="18"/>
        <v/>
      </c>
      <c r="CT8" s="118">
        <f t="shared" si="19"/>
        <v>2</v>
      </c>
      <c r="CU8" s="119" t="str">
        <f t="shared" si="20"/>
        <v/>
      </c>
      <c r="CW8" s="120" t="str">
        <f t="shared" si="21"/>
        <v>2</v>
      </c>
      <c r="CX8" s="120" t="str">
        <f t="shared" si="22"/>
        <v>2</v>
      </c>
    </row>
    <row r="9" spans="1:121" ht="46.4" customHeight="1" x14ac:dyDescent="0.35">
      <c r="A9" s="4" t="s">
        <v>409</v>
      </c>
      <c r="B9" s="3" t="s">
        <v>234</v>
      </c>
      <c r="C9" s="4" t="s">
        <v>68</v>
      </c>
      <c r="D9" s="4" t="s">
        <v>69</v>
      </c>
      <c r="E9" s="4" t="s">
        <v>70</v>
      </c>
      <c r="F9" s="4" t="s">
        <v>59</v>
      </c>
      <c r="G9" s="4" t="s">
        <v>54</v>
      </c>
      <c r="H9" s="4" t="s">
        <v>27</v>
      </c>
      <c r="I9" s="4" t="s">
        <v>28</v>
      </c>
      <c r="J9" s="4" t="s">
        <v>31</v>
      </c>
      <c r="K9" s="4" t="s">
        <v>30</v>
      </c>
      <c r="L9" s="4"/>
      <c r="M9" s="4"/>
      <c r="N9" s="4" t="s">
        <v>30</v>
      </c>
      <c r="O9" s="4"/>
      <c r="P9" s="8"/>
      <c r="Q9" s="4" t="s">
        <v>30</v>
      </c>
      <c r="R9" s="4" t="s">
        <v>31</v>
      </c>
      <c r="S9" s="4"/>
      <c r="T9" s="4" t="s">
        <v>71</v>
      </c>
      <c r="U9" s="4" t="s">
        <v>31</v>
      </c>
      <c r="V9" s="4" t="s">
        <v>251</v>
      </c>
      <c r="W9" s="4" t="s">
        <v>260</v>
      </c>
      <c r="X9" s="4" t="s">
        <v>270</v>
      </c>
      <c r="Y9" s="4" t="s">
        <v>284</v>
      </c>
      <c r="Z9" s="4" t="s">
        <v>32</v>
      </c>
      <c r="AA9" s="5">
        <f>LOG(7590)</f>
        <v>3.8802417758954801</v>
      </c>
      <c r="AB9" s="4" t="s">
        <v>301</v>
      </c>
      <c r="AC9" s="4" t="s">
        <v>67</v>
      </c>
      <c r="AD9" s="17"/>
      <c r="AE9" s="92" cm="1">
        <f t="array" ref="AE9">_xlfn.IFS(COUNTIF(Table14623[[#This Row],[PBT/ vPvB]],"*X*"), 20, TRUE, "")</f>
        <v>20</v>
      </c>
      <c r="AF9" s="93" t="str" cm="1">
        <f t="array" ref="AF9">_xlfn.IFS(COUNTIF(Table14623[[#This Row],[Perturbateur Endocrinien]],"*X*"), 20, TRUE, "")</f>
        <v/>
      </c>
      <c r="AG9" s="93" t="str" cm="1">
        <f t="array" ref="AG9">_xlfn.IFS(COUNTIF(Table14623[[#This Row],[Phrases H]],"*H350*"), 20, TRUE, "")</f>
        <v/>
      </c>
      <c r="AH9" s="93" t="str" cm="1">
        <f t="array" ref="AH9">_xlfn.IFS(COUNTIF(Table14623[[#This Row],[Phrases H]],"*H360*"), 20, TRUE, "")</f>
        <v/>
      </c>
      <c r="AI9" s="93" t="str" cm="1">
        <f t="array" ref="AI9">_xlfn.IFS(COUNTIF(Table14623[[#This Row],[Phrases H]],"*H340*"), 20, TRUE, "")</f>
        <v/>
      </c>
      <c r="AJ9" s="93" t="str" cm="1">
        <f t="array" ref="AJ9">_xlfn.IFS(COUNTIF(Table14623[[#This Row],[Phrases H]],"*H351*"), 10, TRUE, "")</f>
        <v/>
      </c>
      <c r="AK9" s="93" t="str" cm="1">
        <f t="array" ref="AK9">_xlfn.IFS(COUNTIF(Table14623[[#This Row],[Phrases H]],"*H361*"), 10, TRUE, "")</f>
        <v/>
      </c>
      <c r="AL9" s="93" t="str" cm="1">
        <f t="array" ref="AL9">_xlfn.IFS(COUNTIF(Table14623[[#This Row],[Phrases H]],"*H362*"), 10, TRUE, "")</f>
        <v/>
      </c>
      <c r="AM9" s="93" t="str" cm="1">
        <f t="array" ref="AM9">_xlfn.IFS(COUNTIF(Table14623[[#This Row],[Phrases H]],"*H341*"), 10, TRUE, "")</f>
        <v/>
      </c>
      <c r="AN9" s="93" t="str" cm="1">
        <f t="array" ref="AN9">_xlfn.IFS(COUNTIF(Table14623[[#This Row],[Phrases H]],"*H372*"), 10, TRUE, "")</f>
        <v/>
      </c>
      <c r="AO9" s="93" t="str" cm="1">
        <f t="array" ref="AO9">_xlfn.IFS(COUNTIF(Table14623[[#This Row],[Phrases H]],"*H410*"), 10, TRUE, "")</f>
        <v/>
      </c>
      <c r="AP9" s="93" t="str" cm="1">
        <f t="array" ref="AP9">_xlfn.IFS(COUNTIF(Table14623[[#This Row],[Phrases H]],"*H373*"), 5, TRUE, "")</f>
        <v/>
      </c>
      <c r="AQ9" s="93" t="str" cm="1">
        <f t="array" ref="AQ9">_xlfn.IFS(COUNTIF(Table14623[[#This Row],[Phrases H]],"*H411*"), 5, TRUE, "")</f>
        <v/>
      </c>
      <c r="AR9" s="94">
        <f t="shared" si="0"/>
        <v>20</v>
      </c>
      <c r="AS9" s="95"/>
      <c r="AT9" s="96" t="s">
        <v>31</v>
      </c>
      <c r="AU9" s="97" t="s">
        <v>337</v>
      </c>
      <c r="AV9" s="98">
        <f t="shared" si="24"/>
        <v>0</v>
      </c>
      <c r="AW9" s="99" t="str">
        <f t="shared" si="2"/>
        <v>N/A</v>
      </c>
      <c r="AX9" s="95"/>
      <c r="AY9" s="100">
        <f t="shared" si="3"/>
        <v>20</v>
      </c>
      <c r="BA9" s="96">
        <v>0.1166734</v>
      </c>
      <c r="BB9" s="101">
        <f t="shared" si="4"/>
        <v>20</v>
      </c>
      <c r="BC9" s="98" t="str">
        <f t="shared" si="5"/>
        <v>Peu mobile</v>
      </c>
      <c r="BD9" s="121">
        <f>LOG(7590)</f>
        <v>3.8802417758954801</v>
      </c>
      <c r="BE9" s="98" t="str">
        <f t="shared" si="6"/>
        <v>Non mobile</v>
      </c>
      <c r="BF9" s="97">
        <v>641.70000000000005</v>
      </c>
      <c r="BG9" s="97">
        <v>3.1179000000000001E-5</v>
      </c>
      <c r="BH9" s="97">
        <v>312.57974999999999</v>
      </c>
      <c r="BI9" s="98" t="str">
        <f t="shared" si="23"/>
        <v>Non volatil</v>
      </c>
      <c r="BJ9" s="102" t="s">
        <v>31</v>
      </c>
      <c r="BK9" s="103" t="s">
        <v>341</v>
      </c>
      <c r="BM9" s="104" t="str">
        <f t="shared" si="7"/>
        <v>20, N/A (0), Peu mobile (solubilité), Non mobile (log Koc), Non volatil, N/A,EUROFINS</v>
      </c>
      <c r="BT9" s="30">
        <v>20</v>
      </c>
      <c r="BU9" s="31" t="s">
        <v>366</v>
      </c>
      <c r="BV9" s="31" t="s">
        <v>371</v>
      </c>
      <c r="BW9" s="31" t="s">
        <v>361</v>
      </c>
      <c r="BX9" s="31" t="s">
        <v>362</v>
      </c>
      <c r="BY9" s="31" t="s">
        <v>366</v>
      </c>
      <c r="BZ9" s="32" t="s">
        <v>341</v>
      </c>
      <c r="CB9" s="105" t="s">
        <v>392</v>
      </c>
      <c r="CC9" s="106">
        <v>1</v>
      </c>
      <c r="CE9" s="107">
        <f t="shared" si="8"/>
        <v>23.666666666666668</v>
      </c>
      <c r="CF9" s="108">
        <f t="shared" si="9"/>
        <v>0.29957805907172996</v>
      </c>
      <c r="CG9" s="109"/>
      <c r="CH9" s="110" t="str">
        <f t="shared" si="10"/>
        <v>Catégorie 2</v>
      </c>
      <c r="CI9" s="111" t="str">
        <f t="shared" si="11"/>
        <v/>
      </c>
      <c r="CJ9" s="112" t="str">
        <f t="shared" si="12"/>
        <v/>
      </c>
      <c r="CK9" s="112" t="str">
        <f t="shared" si="13"/>
        <v/>
      </c>
      <c r="CL9" s="113" t="str">
        <f t="shared" si="14"/>
        <v/>
      </c>
      <c r="CM9" s="113" t="str">
        <f t="shared" si="15"/>
        <v/>
      </c>
      <c r="CN9" s="114" t="str">
        <f t="shared" si="16"/>
        <v>Top 75%</v>
      </c>
      <c r="CO9" s="115"/>
      <c r="CR9" s="116">
        <f t="shared" si="17"/>
        <v>2</v>
      </c>
      <c r="CS9" s="117" t="str">
        <f t="shared" si="18"/>
        <v/>
      </c>
      <c r="CT9" s="118">
        <f t="shared" si="19"/>
        <v>2</v>
      </c>
      <c r="CU9" s="119" t="str">
        <f t="shared" si="20"/>
        <v/>
      </c>
      <c r="CW9" s="120" t="str">
        <f t="shared" si="21"/>
        <v>2</v>
      </c>
      <c r="CX9" s="120" t="str">
        <f t="shared" si="22"/>
        <v>2</v>
      </c>
      <c r="DQ9" s="2"/>
    </row>
    <row r="10" spans="1:121" ht="43.4" customHeight="1" x14ac:dyDescent="0.35">
      <c r="A10" s="4" t="s">
        <v>409</v>
      </c>
      <c r="B10" s="3" t="s">
        <v>233</v>
      </c>
      <c r="C10" s="4" t="s">
        <v>72</v>
      </c>
      <c r="D10" s="4" t="s">
        <v>73</v>
      </c>
      <c r="E10" s="4" t="s">
        <v>74</v>
      </c>
      <c r="F10" s="4" t="s">
        <v>59</v>
      </c>
      <c r="G10" s="4" t="s">
        <v>75</v>
      </c>
      <c r="H10" s="4" t="s">
        <v>27</v>
      </c>
      <c r="I10" s="4" t="s">
        <v>28</v>
      </c>
      <c r="J10" s="4" t="s">
        <v>31</v>
      </c>
      <c r="K10" s="4" t="s">
        <v>30</v>
      </c>
      <c r="L10" s="4"/>
      <c r="M10" s="4"/>
      <c r="N10" s="4" t="s">
        <v>30</v>
      </c>
      <c r="O10" s="4"/>
      <c r="P10" s="8"/>
      <c r="Q10" s="4" t="s">
        <v>30</v>
      </c>
      <c r="R10" s="4" t="s">
        <v>31</v>
      </c>
      <c r="S10" s="4"/>
      <c r="T10" s="4" t="s">
        <v>31</v>
      </c>
      <c r="U10" s="4" t="s">
        <v>31</v>
      </c>
      <c r="V10" s="4" t="s">
        <v>252</v>
      </c>
      <c r="W10" s="4" t="s">
        <v>260</v>
      </c>
      <c r="X10" s="4" t="s">
        <v>270</v>
      </c>
      <c r="Y10" s="4" t="s">
        <v>284</v>
      </c>
      <c r="Z10" s="4" t="s">
        <v>32</v>
      </c>
      <c r="AA10" s="5">
        <f>LOG(7590)</f>
        <v>3.8802417758954801</v>
      </c>
      <c r="AB10" s="4" t="s">
        <v>301</v>
      </c>
      <c r="AC10" s="4" t="s">
        <v>67</v>
      </c>
      <c r="AD10" s="17"/>
      <c r="AE10" s="92" cm="1">
        <f t="array" ref="AE10">_xlfn.IFS(COUNTIF(Table14623[[#This Row],[PBT/ vPvB]],"*X*"), 20, TRUE, "")</f>
        <v>20</v>
      </c>
      <c r="AF10" s="93" t="str" cm="1">
        <f t="array" ref="AF10">_xlfn.IFS(COUNTIF(Table14623[[#This Row],[Perturbateur Endocrinien]],"*X*"), 20, TRUE, "")</f>
        <v/>
      </c>
      <c r="AG10" s="93" t="str" cm="1">
        <f t="array" ref="AG10">_xlfn.IFS(COUNTIF(Table14623[[#This Row],[Phrases H]],"*H350*"), 20, TRUE, "")</f>
        <v/>
      </c>
      <c r="AH10" s="93" t="str" cm="1">
        <f t="array" ref="AH10">_xlfn.IFS(COUNTIF(Table14623[[#This Row],[Phrases H]],"*H360*"), 20, TRUE, "")</f>
        <v/>
      </c>
      <c r="AI10" s="93" t="str" cm="1">
        <f t="array" ref="AI10">_xlfn.IFS(COUNTIF(Table14623[[#This Row],[Phrases H]],"*H340*"), 20, TRUE, "")</f>
        <v/>
      </c>
      <c r="AJ10" s="93" t="str" cm="1">
        <f t="array" ref="AJ10">_xlfn.IFS(COUNTIF(Table14623[[#This Row],[Phrases H]],"*H351*"), 10, TRUE, "")</f>
        <v/>
      </c>
      <c r="AK10" s="93" t="str" cm="1">
        <f t="array" ref="AK10">_xlfn.IFS(COUNTIF(Table14623[[#This Row],[Phrases H]],"*H361*"), 10, TRUE, "")</f>
        <v/>
      </c>
      <c r="AL10" s="93" t="str" cm="1">
        <f t="array" ref="AL10">_xlfn.IFS(COUNTIF(Table14623[[#This Row],[Phrases H]],"*H362*"), 10, TRUE, "")</f>
        <v/>
      </c>
      <c r="AM10" s="93" t="str" cm="1">
        <f t="array" ref="AM10">_xlfn.IFS(COUNTIF(Table14623[[#This Row],[Phrases H]],"*H341*"), 10, TRUE, "")</f>
        <v/>
      </c>
      <c r="AN10" s="93" t="str" cm="1">
        <f t="array" ref="AN10">_xlfn.IFS(COUNTIF(Table14623[[#This Row],[Phrases H]],"*H372*"), 10, TRUE, "")</f>
        <v/>
      </c>
      <c r="AO10" s="93" t="str" cm="1">
        <f t="array" ref="AO10">_xlfn.IFS(COUNTIF(Table14623[[#This Row],[Phrases H]],"*H410*"), 10, TRUE, "")</f>
        <v/>
      </c>
      <c r="AP10" s="93" t="str" cm="1">
        <f t="array" ref="AP10">_xlfn.IFS(COUNTIF(Table14623[[#This Row],[Phrases H]],"*H373*"), 5, TRUE, "")</f>
        <v/>
      </c>
      <c r="AQ10" s="93" t="str" cm="1">
        <f t="array" ref="AQ10">_xlfn.IFS(COUNTIF(Table14623[[#This Row],[Phrases H]],"*H411*"), 5, TRUE, "")</f>
        <v/>
      </c>
      <c r="AR10" s="94">
        <f t="shared" si="0"/>
        <v>20</v>
      </c>
      <c r="AS10" s="95"/>
      <c r="AT10" s="96" t="s">
        <v>31</v>
      </c>
      <c r="AU10" s="97" t="s">
        <v>337</v>
      </c>
      <c r="AV10" s="98">
        <f t="shared" si="24"/>
        <v>0</v>
      </c>
      <c r="AW10" s="99" t="str">
        <f t="shared" si="2"/>
        <v>N/A</v>
      </c>
      <c r="AX10" s="95"/>
      <c r="AY10" s="100">
        <f t="shared" si="3"/>
        <v>20</v>
      </c>
      <c r="BA10" s="96">
        <v>0.1169</v>
      </c>
      <c r="BB10" s="101">
        <f t="shared" si="4"/>
        <v>20</v>
      </c>
      <c r="BC10" s="98" t="str">
        <f t="shared" si="5"/>
        <v>Peu mobile</v>
      </c>
      <c r="BD10" s="121">
        <f>LOG(7590)</f>
        <v>3.8802417758954801</v>
      </c>
      <c r="BE10" s="98" t="str">
        <f t="shared" si="6"/>
        <v>Non mobile</v>
      </c>
      <c r="BF10" s="97">
        <v>641.70000000000005</v>
      </c>
      <c r="BG10" s="97">
        <v>3.1179000000000001E-5</v>
      </c>
      <c r="BH10" s="97">
        <v>312.57974999999999</v>
      </c>
      <c r="BI10" s="98" t="str">
        <f t="shared" si="23"/>
        <v>Non volatil</v>
      </c>
      <c r="BJ10" s="102" t="s">
        <v>31</v>
      </c>
      <c r="BK10" s="103" t="s">
        <v>341</v>
      </c>
      <c r="BM10" s="104" t="str">
        <f t="shared" si="7"/>
        <v>20, N/A (0), Peu mobile (solubilité), Non mobile (log Koc), Non volatil, N/A,EUROFINS</v>
      </c>
      <c r="BT10" s="30">
        <v>20</v>
      </c>
      <c r="BU10" s="31" t="s">
        <v>366</v>
      </c>
      <c r="BV10" s="31" t="s">
        <v>371</v>
      </c>
      <c r="BW10" s="31" t="s">
        <v>361</v>
      </c>
      <c r="BX10" s="31" t="s">
        <v>362</v>
      </c>
      <c r="BY10" s="31" t="s">
        <v>366</v>
      </c>
      <c r="BZ10" s="32" t="s">
        <v>341</v>
      </c>
      <c r="CB10" s="105" t="s">
        <v>392</v>
      </c>
      <c r="CC10" s="106">
        <v>1</v>
      </c>
      <c r="CE10" s="107">
        <f t="shared" si="8"/>
        <v>23.666666666666668</v>
      </c>
      <c r="CF10" s="108">
        <f t="shared" si="9"/>
        <v>0.29957805907172996</v>
      </c>
      <c r="CG10" s="109"/>
      <c r="CH10" s="110" t="str">
        <f t="shared" si="10"/>
        <v>Catégorie 2</v>
      </c>
      <c r="CI10" s="111" t="str">
        <f t="shared" si="11"/>
        <v/>
      </c>
      <c r="CJ10" s="112" t="str">
        <f t="shared" si="12"/>
        <v/>
      </c>
      <c r="CK10" s="112" t="str">
        <f t="shared" si="13"/>
        <v/>
      </c>
      <c r="CL10" s="113" t="str">
        <f t="shared" si="14"/>
        <v/>
      </c>
      <c r="CM10" s="113" t="str">
        <f t="shared" si="15"/>
        <v/>
      </c>
      <c r="CN10" s="114" t="str">
        <f t="shared" si="16"/>
        <v>Top 75%</v>
      </c>
      <c r="CO10" s="115"/>
      <c r="CR10" s="116">
        <f t="shared" si="17"/>
        <v>2</v>
      </c>
      <c r="CS10" s="117" t="str">
        <f t="shared" si="18"/>
        <v/>
      </c>
      <c r="CT10" s="118">
        <f t="shared" si="19"/>
        <v>2</v>
      </c>
      <c r="CU10" s="119" t="str">
        <f t="shared" si="20"/>
        <v/>
      </c>
      <c r="CW10" s="120" t="str">
        <f t="shared" si="21"/>
        <v>2</v>
      </c>
      <c r="CX10" s="120" t="str">
        <f t="shared" si="22"/>
        <v>2</v>
      </c>
    </row>
    <row r="11" spans="1:121" ht="44.5" customHeight="1" x14ac:dyDescent="0.35">
      <c r="A11" s="4" t="s">
        <v>409</v>
      </c>
      <c r="B11" s="3" t="s">
        <v>76</v>
      </c>
      <c r="C11" s="6" t="s">
        <v>26</v>
      </c>
      <c r="D11" s="4" t="s">
        <v>77</v>
      </c>
      <c r="E11" s="4" t="s">
        <v>78</v>
      </c>
      <c r="F11" s="4" t="s">
        <v>79</v>
      </c>
      <c r="G11" s="4" t="s">
        <v>80</v>
      </c>
      <c r="H11" s="4" t="s">
        <v>27</v>
      </c>
      <c r="I11" s="4" t="s">
        <v>81</v>
      </c>
      <c r="J11" s="4" t="s">
        <v>240</v>
      </c>
      <c r="K11" s="4"/>
      <c r="L11" s="4"/>
      <c r="M11" s="4" t="s">
        <v>30</v>
      </c>
      <c r="N11" s="4" t="s">
        <v>30</v>
      </c>
      <c r="O11" s="4"/>
      <c r="P11" s="8"/>
      <c r="Q11" s="4" t="s">
        <v>30</v>
      </c>
      <c r="R11" s="4" t="s">
        <v>1276</v>
      </c>
      <c r="S11" s="4" t="s">
        <v>30</v>
      </c>
      <c r="T11" s="4" t="s">
        <v>82</v>
      </c>
      <c r="U11" s="4" t="s">
        <v>52</v>
      </c>
      <c r="V11" s="4" t="s">
        <v>83</v>
      </c>
      <c r="W11" s="4" t="s">
        <v>84</v>
      </c>
      <c r="X11" s="4" t="s">
        <v>276</v>
      </c>
      <c r="Y11" s="4" t="s">
        <v>285</v>
      </c>
      <c r="Z11" s="4" t="s">
        <v>85</v>
      </c>
      <c r="AA11" s="5">
        <f>LOG(416869)</f>
        <v>5.6199996005004591</v>
      </c>
      <c r="AB11" s="4" t="s">
        <v>302</v>
      </c>
      <c r="AC11" s="4" t="s">
        <v>199</v>
      </c>
      <c r="AD11" s="17"/>
      <c r="AE11" s="92" cm="1">
        <f t="array" ref="AE11">_xlfn.IFS(COUNTIF(Table14623[[#This Row],[PBT/ vPvB]],"*X*"), 20, TRUE, "")</f>
        <v>20</v>
      </c>
      <c r="AF11" s="93" cm="1">
        <f t="array" ref="AF11">_xlfn.IFS(COUNTIF(Table14623[[#This Row],[Perturbateur Endocrinien]],"*X*"), 20, TRUE, "")</f>
        <v>20</v>
      </c>
      <c r="AG11" s="93" t="str" cm="1">
        <f t="array" ref="AG11">_xlfn.IFS(COUNTIF(Table14623[[#This Row],[Phrases H]],"*H350*"), 20, TRUE, "")</f>
        <v/>
      </c>
      <c r="AH11" s="93" t="str" cm="1">
        <f t="array" ref="AH11">_xlfn.IFS(COUNTIF(Table14623[[#This Row],[Phrases H]],"*H360*"), 20, TRUE, "")</f>
        <v/>
      </c>
      <c r="AI11" s="93" t="str" cm="1">
        <f t="array" ref="AI11">_xlfn.IFS(COUNTIF(Table14623[[#This Row],[Phrases H]],"*H340*"), 20, TRUE, "")</f>
        <v/>
      </c>
      <c r="AJ11" s="93" cm="1">
        <f t="array" ref="AJ11">_xlfn.IFS(COUNTIF(Table14623[[#This Row],[Phrases H]],"*H351*"), 10, TRUE, "")</f>
        <v>10</v>
      </c>
      <c r="AK11" s="93" t="str" cm="1">
        <f t="array" ref="AK11">_xlfn.IFS(COUNTIF(Table14623[[#This Row],[Phrases H]],"*H361*"), 10, TRUE, "")</f>
        <v/>
      </c>
      <c r="AL11" s="93" t="str" cm="1">
        <f t="array" ref="AL11">_xlfn.IFS(COUNTIF(Table14623[[#This Row],[Phrases H]],"*H362*"), 10, TRUE, "")</f>
        <v/>
      </c>
      <c r="AM11" s="93" t="str" cm="1">
        <f t="array" ref="AM11">_xlfn.IFS(COUNTIF(Table14623[[#This Row],[Phrases H]],"*H341*"), 10, TRUE, "")</f>
        <v/>
      </c>
      <c r="AN11" s="93" t="str" cm="1">
        <f t="array" ref="AN11">_xlfn.IFS(COUNTIF(Table14623[[#This Row],[Phrases H]],"*H372*"), 10, TRUE, "")</f>
        <v/>
      </c>
      <c r="AO11" s="93" cm="1">
        <f t="array" ref="AO11">_xlfn.IFS(COUNTIF(Table14623[[#This Row],[Phrases H]],"*H410*"), 10, TRUE, "")</f>
        <v>10</v>
      </c>
      <c r="AP11" s="93" t="str" cm="1">
        <f t="array" ref="AP11">_xlfn.IFS(COUNTIF(Table14623[[#This Row],[Phrases H]],"*H373*"), 5, TRUE, "")</f>
        <v/>
      </c>
      <c r="AQ11" s="93" t="str" cm="1">
        <f t="array" ref="AQ11">_xlfn.IFS(COUNTIF(Table14623[[#This Row],[Phrases H]],"*H411*"), 5, TRUE, "")</f>
        <v/>
      </c>
      <c r="AR11" s="94">
        <f t="shared" si="0"/>
        <v>60</v>
      </c>
      <c r="AS11" s="95"/>
      <c r="AT11" s="96">
        <v>100000</v>
      </c>
      <c r="AU11" s="97" t="s">
        <v>337</v>
      </c>
      <c r="AV11" s="98">
        <f t="shared" si="24"/>
        <v>25</v>
      </c>
      <c r="AW11" s="99" t="str">
        <f t="shared" si="2"/>
        <v>Production très élevée</v>
      </c>
      <c r="AX11" s="95"/>
      <c r="AY11" s="100">
        <f t="shared" si="3"/>
        <v>85</v>
      </c>
      <c r="BA11" s="96">
        <f>AVERAGE(0.0351,1.26)</f>
        <v>0.64754999999999996</v>
      </c>
      <c r="BB11" s="101">
        <f t="shared" si="4"/>
        <v>20</v>
      </c>
      <c r="BC11" s="98" t="str">
        <f t="shared" si="5"/>
        <v>Peu mobile</v>
      </c>
      <c r="BD11" s="121">
        <f>LOG(416869)</f>
        <v>5.6199996005004591</v>
      </c>
      <c r="BE11" s="98" t="str">
        <f t="shared" si="6"/>
        <v>Non mobile</v>
      </c>
      <c r="BF11" s="97">
        <v>543.9</v>
      </c>
      <c r="BG11" s="97">
        <v>0</v>
      </c>
      <c r="BH11" s="97">
        <v>5.3999999999999999E-2</v>
      </c>
      <c r="BI11" s="98" t="str">
        <f t="shared" si="23"/>
        <v>Non volatil</v>
      </c>
      <c r="BJ11" s="102" t="s">
        <v>354</v>
      </c>
      <c r="BK11" s="103" t="s">
        <v>378</v>
      </c>
      <c r="BM11" s="104" t="str">
        <f t="shared" si="7"/>
        <v>60, Production très élevée (25), Peu mobile (solubilité), Non mobile (log Koc), Non volatil, Pas facilement biodégradable,EUROFINS,  SERVACO</v>
      </c>
      <c r="BT11" s="30">
        <v>60</v>
      </c>
      <c r="BU11" s="31" t="s">
        <v>365</v>
      </c>
      <c r="BV11" s="31" t="s">
        <v>371</v>
      </c>
      <c r="BW11" s="31" t="s">
        <v>361</v>
      </c>
      <c r="BX11" s="31" t="s">
        <v>362</v>
      </c>
      <c r="BY11" s="31" t="s">
        <v>363</v>
      </c>
      <c r="BZ11" s="32" t="s">
        <v>378</v>
      </c>
      <c r="CB11" s="105" t="s">
        <v>397</v>
      </c>
      <c r="CC11" s="106">
        <v>1</v>
      </c>
      <c r="CE11" s="107">
        <f t="shared" si="8"/>
        <v>76</v>
      </c>
      <c r="CF11" s="108">
        <f t="shared" si="9"/>
        <v>0.96202531645569622</v>
      </c>
      <c r="CG11" s="109"/>
      <c r="CH11" s="110" t="str">
        <f t="shared" si="10"/>
        <v>Catégorie 5</v>
      </c>
      <c r="CI11" s="111" t="str">
        <f t="shared" si="11"/>
        <v/>
      </c>
      <c r="CJ11" s="112" t="str">
        <f t="shared" si="12"/>
        <v/>
      </c>
      <c r="CK11" s="112" t="str">
        <f t="shared" si="13"/>
        <v>Top 10%</v>
      </c>
      <c r="CL11" s="113" t="str">
        <f t="shared" si="14"/>
        <v>Top 25%</v>
      </c>
      <c r="CM11" s="113" t="str">
        <f t="shared" si="15"/>
        <v>Top 50%</v>
      </c>
      <c r="CN11" s="114" t="str">
        <f t="shared" si="16"/>
        <v>Top 75%</v>
      </c>
      <c r="CO11" s="115"/>
      <c r="CR11" s="116">
        <f t="shared" si="17"/>
        <v>4</v>
      </c>
      <c r="CS11" s="117" t="str">
        <f t="shared" si="18"/>
        <v/>
      </c>
      <c r="CT11" s="118">
        <f t="shared" si="19"/>
        <v>5</v>
      </c>
      <c r="CU11" s="119" t="str">
        <f t="shared" si="20"/>
        <v/>
      </c>
      <c r="CW11" s="120" t="str">
        <f t="shared" si="21"/>
        <v>4</v>
      </c>
      <c r="CX11" s="120" t="str">
        <f t="shared" si="22"/>
        <v>5</v>
      </c>
      <c r="DQ11" s="2"/>
    </row>
    <row r="12" spans="1:121" ht="35.5" customHeight="1" x14ac:dyDescent="0.35">
      <c r="A12" s="4" t="s">
        <v>409</v>
      </c>
      <c r="B12" s="3" t="s">
        <v>232</v>
      </c>
      <c r="C12" s="4" t="s">
        <v>86</v>
      </c>
      <c r="D12" s="4" t="s">
        <v>87</v>
      </c>
      <c r="E12" s="4" t="s">
        <v>88</v>
      </c>
      <c r="F12" s="4" t="s">
        <v>89</v>
      </c>
      <c r="G12" s="4" t="s">
        <v>31</v>
      </c>
      <c r="H12" s="4" t="s">
        <v>90</v>
      </c>
      <c r="I12" s="4" t="s">
        <v>91</v>
      </c>
      <c r="J12" s="4" t="s">
        <v>238</v>
      </c>
      <c r="K12" s="4"/>
      <c r="L12" s="4"/>
      <c r="M12" s="4"/>
      <c r="N12" s="4" t="s">
        <v>30</v>
      </c>
      <c r="O12" s="4"/>
      <c r="P12" s="8"/>
      <c r="Q12" s="4" t="s">
        <v>30</v>
      </c>
      <c r="R12" s="4" t="s">
        <v>1276</v>
      </c>
      <c r="S12" s="4" t="s">
        <v>30</v>
      </c>
      <c r="T12" s="4" t="s">
        <v>92</v>
      </c>
      <c r="U12" s="4" t="s">
        <v>31</v>
      </c>
      <c r="V12" s="4" t="s">
        <v>253</v>
      </c>
      <c r="W12" s="4" t="s">
        <v>93</v>
      </c>
      <c r="X12" s="4" t="s">
        <v>32</v>
      </c>
      <c r="Y12" s="4" t="s">
        <v>286</v>
      </c>
      <c r="Z12" s="4">
        <v>25</v>
      </c>
      <c r="AA12" s="5">
        <f>LOG(119941)</f>
        <v>5.0789676654178137</v>
      </c>
      <c r="AB12" s="4" t="s">
        <v>312</v>
      </c>
      <c r="AC12" s="4" t="s">
        <v>315</v>
      </c>
      <c r="AD12" s="17"/>
      <c r="AE12" s="92" cm="1">
        <f t="array" ref="AE12">_xlfn.IFS(COUNTIF(Table14623[[#This Row],[PBT/ vPvB]],"*X*"), 20, TRUE, "")</f>
        <v>20</v>
      </c>
      <c r="AF12" s="93" cm="1">
        <f t="array" ref="AF12">_xlfn.IFS(COUNTIF(Table14623[[#This Row],[Perturbateur Endocrinien]],"*X*"), 20, TRUE, "")</f>
        <v>20</v>
      </c>
      <c r="AG12" s="93" t="str" cm="1">
        <f t="array" ref="AG12">_xlfn.IFS(COUNTIF(Table14623[[#This Row],[Phrases H]],"*H350*"), 20, TRUE, "")</f>
        <v/>
      </c>
      <c r="AH12" s="93" cm="1">
        <f t="array" ref="AH12">_xlfn.IFS(COUNTIF(Table14623[[#This Row],[Phrases H]],"*H360*"), 20, TRUE, "")</f>
        <v>20</v>
      </c>
      <c r="AI12" s="93" t="str" cm="1">
        <f t="array" ref="AI12">_xlfn.IFS(COUNTIF(Table14623[[#This Row],[Phrases H]],"*H340*"), 20, TRUE, "")</f>
        <v/>
      </c>
      <c r="AJ12" s="93" t="str" cm="1">
        <f t="array" ref="AJ12">_xlfn.IFS(COUNTIF(Table14623[[#This Row],[Phrases H]],"*H351*"), 10, TRUE, "")</f>
        <v/>
      </c>
      <c r="AK12" s="93" t="str" cm="1">
        <f t="array" ref="AK12">_xlfn.IFS(COUNTIF(Table14623[[#This Row],[Phrases H]],"*H361*"), 10, TRUE, "")</f>
        <v/>
      </c>
      <c r="AL12" s="93" t="str" cm="1">
        <f t="array" ref="AL12">_xlfn.IFS(COUNTIF(Table14623[[#This Row],[Phrases H]],"*H362*"), 10, TRUE, "")</f>
        <v/>
      </c>
      <c r="AM12" s="93" t="str" cm="1">
        <f t="array" ref="AM12">_xlfn.IFS(COUNTIF(Table14623[[#This Row],[Phrases H]],"*H341*"), 10, TRUE, "")</f>
        <v/>
      </c>
      <c r="AN12" s="93" t="str" cm="1">
        <f t="array" ref="AN12">_xlfn.IFS(COUNTIF(Table14623[[#This Row],[Phrases H]],"*H372*"), 10, TRUE, "")</f>
        <v/>
      </c>
      <c r="AO12" s="93" cm="1">
        <f t="array" ref="AO12">_xlfn.IFS(COUNTIF(Table14623[[#This Row],[Phrases H]],"*H410*"), 10, TRUE, "")</f>
        <v>10</v>
      </c>
      <c r="AP12" s="93" cm="1">
        <f t="array" ref="AP12">_xlfn.IFS(COUNTIF(Table14623[[#This Row],[Phrases H]],"*H373*"), 5, TRUE, "")</f>
        <v>5</v>
      </c>
      <c r="AQ12" s="93" t="str" cm="1">
        <f t="array" ref="AQ12">_xlfn.IFS(COUNTIF(Table14623[[#This Row],[Phrases H]],"*H411*"), 5, TRUE, "")</f>
        <v/>
      </c>
      <c r="AR12" s="94">
        <f t="shared" si="0"/>
        <v>75</v>
      </c>
      <c r="AS12" s="95"/>
      <c r="AT12" s="96">
        <v>1000</v>
      </c>
      <c r="AU12" s="97" t="s">
        <v>337</v>
      </c>
      <c r="AV12" s="98">
        <f t="shared" si="24"/>
        <v>15</v>
      </c>
      <c r="AW12" s="99" t="str">
        <f t="shared" si="2"/>
        <v>Production modérée</v>
      </c>
      <c r="AX12" s="95"/>
      <c r="AY12" s="100">
        <f t="shared" si="3"/>
        <v>90</v>
      </c>
      <c r="BA12" s="96">
        <v>0.02</v>
      </c>
      <c r="BB12" s="101">
        <f t="shared" si="4"/>
        <v>10</v>
      </c>
      <c r="BC12" s="98" t="str">
        <f t="shared" si="5"/>
        <v>Très peu mobile</v>
      </c>
      <c r="BD12" s="121">
        <f>LOG(119941)</f>
        <v>5.0789676654178137</v>
      </c>
      <c r="BE12" s="98" t="str">
        <f t="shared" si="6"/>
        <v>Non mobile</v>
      </c>
      <c r="BF12" s="97">
        <v>410.4</v>
      </c>
      <c r="BG12" s="97">
        <v>0</v>
      </c>
      <c r="BH12" s="97" t="s">
        <v>31</v>
      </c>
      <c r="BI12" s="98" t="str">
        <f t="shared" si="23"/>
        <v>N/A</v>
      </c>
      <c r="BJ12" s="102" t="s">
        <v>354</v>
      </c>
      <c r="BK12" s="103" t="s">
        <v>31</v>
      </c>
      <c r="BM12" s="104" t="str">
        <f t="shared" si="7"/>
        <v>75, Production modérée (15), Très peu mobile (solubilité), Non mobile (log Koc), N/A, Pas facilement biodégradable,N/A</v>
      </c>
      <c r="BT12" s="30">
        <v>75</v>
      </c>
      <c r="BU12" s="31" t="s">
        <v>359</v>
      </c>
      <c r="BV12" s="31" t="s">
        <v>364</v>
      </c>
      <c r="BW12" s="31" t="s">
        <v>361</v>
      </c>
      <c r="BX12" s="31" t="s">
        <v>366</v>
      </c>
      <c r="BY12" s="31" t="s">
        <v>363</v>
      </c>
      <c r="BZ12" s="32" t="s">
        <v>31</v>
      </c>
      <c r="CB12" s="105"/>
      <c r="CC12" s="106">
        <v>0</v>
      </c>
      <c r="CE12" s="107">
        <f t="shared" si="8"/>
        <v>79</v>
      </c>
      <c r="CF12" s="108">
        <f t="shared" si="9"/>
        <v>1</v>
      </c>
      <c r="CG12" s="109"/>
      <c r="CH12" s="110" t="str">
        <f t="shared" si="10"/>
        <v>Catégorie 5</v>
      </c>
      <c r="CI12" s="111" t="str">
        <f t="shared" si="11"/>
        <v>c</v>
      </c>
      <c r="CJ12" s="112" t="str">
        <f t="shared" si="12"/>
        <v>Top 5%</v>
      </c>
      <c r="CK12" s="112" t="str">
        <f t="shared" si="13"/>
        <v>Top 10%</v>
      </c>
      <c r="CL12" s="113" t="str">
        <f t="shared" si="14"/>
        <v>Top 25%</v>
      </c>
      <c r="CM12" s="113" t="str">
        <f t="shared" si="15"/>
        <v>Top 50%</v>
      </c>
      <c r="CN12" s="114" t="str">
        <f t="shared" si="16"/>
        <v>Top 75%</v>
      </c>
      <c r="CO12" s="115"/>
      <c r="CR12" s="116">
        <f t="shared" si="17"/>
        <v>5</v>
      </c>
      <c r="CS12" s="117" t="str">
        <f t="shared" si="18"/>
        <v>c</v>
      </c>
      <c r="CT12" s="118">
        <f t="shared" si="19"/>
        <v>5</v>
      </c>
      <c r="CU12" s="119" t="str">
        <f t="shared" si="20"/>
        <v>c</v>
      </c>
      <c r="CW12" s="120" t="str">
        <f t="shared" si="21"/>
        <v>5c</v>
      </c>
      <c r="CX12" s="120" t="str">
        <f t="shared" si="22"/>
        <v>5c</v>
      </c>
      <c r="DQ12" s="2"/>
    </row>
    <row r="13" spans="1:121" ht="26.15" customHeight="1" x14ac:dyDescent="0.35">
      <c r="A13" s="4" t="s">
        <v>409</v>
      </c>
      <c r="B13" s="3" t="s">
        <v>231</v>
      </c>
      <c r="C13" s="6" t="s">
        <v>26</v>
      </c>
      <c r="D13" s="4" t="s">
        <v>94</v>
      </c>
      <c r="E13" s="4" t="s">
        <v>95</v>
      </c>
      <c r="F13" s="4" t="s">
        <v>96</v>
      </c>
      <c r="G13" s="4" t="s">
        <v>97</v>
      </c>
      <c r="H13" s="4" t="s">
        <v>90</v>
      </c>
      <c r="I13" s="4" t="s">
        <v>91</v>
      </c>
      <c r="J13" s="4" t="s">
        <v>98</v>
      </c>
      <c r="K13" s="4"/>
      <c r="L13" s="4"/>
      <c r="M13" s="4" t="s">
        <v>30</v>
      </c>
      <c r="N13" s="4" t="s">
        <v>30</v>
      </c>
      <c r="O13" s="4"/>
      <c r="P13" s="8"/>
      <c r="Q13" s="4"/>
      <c r="R13" s="4" t="s">
        <v>1278</v>
      </c>
      <c r="S13" s="4" t="s">
        <v>30</v>
      </c>
      <c r="T13" s="4" t="s">
        <v>99</v>
      </c>
      <c r="U13" s="4" t="s">
        <v>31</v>
      </c>
      <c r="V13" s="4" t="s">
        <v>254</v>
      </c>
      <c r="W13" s="4" t="s">
        <v>261</v>
      </c>
      <c r="X13" s="4" t="s">
        <v>277</v>
      </c>
      <c r="Y13" s="4" t="s">
        <v>287</v>
      </c>
      <c r="Z13" s="4" t="s">
        <v>100</v>
      </c>
      <c r="AA13" s="5">
        <f>LOG(2944)</f>
        <v>3.4689378056654614</v>
      </c>
      <c r="AB13" s="4">
        <v>2944</v>
      </c>
      <c r="AC13" s="4" t="s">
        <v>316</v>
      </c>
      <c r="AD13" s="17"/>
      <c r="AE13" s="92" t="str" cm="1">
        <f t="array" ref="AE13">_xlfn.IFS(COUNTIF(Table14623[[#This Row],[PBT/ vPvB]],"*X*"), 20, TRUE, "")</f>
        <v/>
      </c>
      <c r="AF13" s="93" cm="1">
        <f t="array" ref="AF13">_xlfn.IFS(COUNTIF(Table14623[[#This Row],[Perturbateur Endocrinien]],"*X*"), 20, TRUE, "")</f>
        <v>20</v>
      </c>
      <c r="AG13" s="93" t="str" cm="1">
        <f t="array" ref="AG13">_xlfn.IFS(COUNTIF(Table14623[[#This Row],[Phrases H]],"*H350*"), 20, TRUE, "")</f>
        <v/>
      </c>
      <c r="AH13" s="93" t="str" cm="1">
        <f t="array" ref="AH13">_xlfn.IFS(COUNTIF(Table14623[[#This Row],[Phrases H]],"*H360*"), 20, TRUE, "")</f>
        <v/>
      </c>
      <c r="AI13" s="93" t="str" cm="1">
        <f t="array" ref="AI13">_xlfn.IFS(COUNTIF(Table14623[[#This Row],[Phrases H]],"*H340*"), 20, TRUE, "")</f>
        <v/>
      </c>
      <c r="AJ13" s="93" t="str" cm="1">
        <f t="array" ref="AJ13">_xlfn.IFS(COUNTIF(Table14623[[#This Row],[Phrases H]],"*H351*"), 10, TRUE, "")</f>
        <v/>
      </c>
      <c r="AK13" s="93" t="str" cm="1">
        <f t="array" ref="AK13">_xlfn.IFS(COUNTIF(Table14623[[#This Row],[Phrases H]],"*H361*"), 10, TRUE, "")</f>
        <v/>
      </c>
      <c r="AL13" s="93" t="str" cm="1">
        <f t="array" ref="AL13">_xlfn.IFS(COUNTIF(Table14623[[#This Row],[Phrases H]],"*H362*"), 10, TRUE, "")</f>
        <v/>
      </c>
      <c r="AM13" s="93" t="str" cm="1">
        <f t="array" ref="AM13">_xlfn.IFS(COUNTIF(Table14623[[#This Row],[Phrases H]],"*H341*"), 10, TRUE, "")</f>
        <v/>
      </c>
      <c r="AN13" s="93" t="str" cm="1">
        <f t="array" ref="AN13">_xlfn.IFS(COUNTIF(Table14623[[#This Row],[Phrases H]],"*H372*"), 10, TRUE, "")</f>
        <v/>
      </c>
      <c r="AO13" s="93" cm="1">
        <f t="array" ref="AO13">_xlfn.IFS(COUNTIF(Table14623[[#This Row],[Phrases H]],"*H410*"), 10, TRUE, "")</f>
        <v>10</v>
      </c>
      <c r="AP13" s="93" t="str" cm="1">
        <f t="array" ref="AP13">_xlfn.IFS(COUNTIF(Table14623[[#This Row],[Phrases H]],"*H373*"), 5, TRUE, "")</f>
        <v/>
      </c>
      <c r="AQ13" s="93" t="str" cm="1">
        <f t="array" ref="AQ13">_xlfn.IFS(COUNTIF(Table14623[[#This Row],[Phrases H]],"*H411*"), 5, TRUE, "")</f>
        <v/>
      </c>
      <c r="AR13" s="94">
        <f t="shared" si="0"/>
        <v>30</v>
      </c>
      <c r="AS13" s="95"/>
      <c r="AT13" s="96">
        <v>100</v>
      </c>
      <c r="AU13" s="97" t="s">
        <v>337</v>
      </c>
      <c r="AV13" s="98">
        <f t="shared" si="24"/>
        <v>10</v>
      </c>
      <c r="AW13" s="99" t="str">
        <f t="shared" si="2"/>
        <v>Faible production</v>
      </c>
      <c r="AX13" s="95"/>
      <c r="AY13" s="100">
        <f t="shared" si="3"/>
        <v>40</v>
      </c>
      <c r="BA13" s="96">
        <v>1.9</v>
      </c>
      <c r="BB13" s="101">
        <f t="shared" si="4"/>
        <v>20</v>
      </c>
      <c r="BC13" s="98" t="str">
        <f t="shared" si="5"/>
        <v>Peu mobile</v>
      </c>
      <c r="BD13" s="121">
        <f>LOG(2944)</f>
        <v>3.4689378056654614</v>
      </c>
      <c r="BE13" s="98" t="str">
        <f t="shared" si="6"/>
        <v>Non mobile</v>
      </c>
      <c r="BF13" s="97">
        <v>326.3</v>
      </c>
      <c r="BG13" s="97">
        <v>1E-3</v>
      </c>
      <c r="BH13" s="97">
        <v>4.0000000000000001E-3</v>
      </c>
      <c r="BI13" s="98" t="str">
        <f t="shared" si="23"/>
        <v>Non volatil</v>
      </c>
      <c r="BJ13" s="102" t="s">
        <v>355</v>
      </c>
      <c r="BK13" s="103" t="s">
        <v>341</v>
      </c>
      <c r="BM13" s="104" t="str">
        <f t="shared" si="7"/>
        <v>30, Faible production (10), Peu mobile (solubilité), Non mobile (log Koc), Non volatil, Facilement biodégradable,EUROFINS</v>
      </c>
      <c r="BT13" s="30">
        <v>30</v>
      </c>
      <c r="BU13" s="31" t="s">
        <v>374</v>
      </c>
      <c r="BV13" s="31" t="s">
        <v>371</v>
      </c>
      <c r="BW13" s="31" t="s">
        <v>361</v>
      </c>
      <c r="BX13" s="31" t="s">
        <v>362</v>
      </c>
      <c r="BY13" s="31" t="s">
        <v>375</v>
      </c>
      <c r="BZ13" s="32" t="s">
        <v>341</v>
      </c>
      <c r="CB13" s="105" t="s">
        <v>396</v>
      </c>
      <c r="CC13" s="106">
        <v>1</v>
      </c>
      <c r="CE13" s="107">
        <f t="shared" si="8"/>
        <v>39</v>
      </c>
      <c r="CF13" s="108">
        <f t="shared" si="9"/>
        <v>0.49367088607594939</v>
      </c>
      <c r="CG13" s="109"/>
      <c r="CH13" s="110" t="str">
        <f t="shared" si="10"/>
        <v>Catégorie 3</v>
      </c>
      <c r="CI13" s="111" t="str">
        <f t="shared" si="11"/>
        <v/>
      </c>
      <c r="CJ13" s="112" t="str">
        <f t="shared" si="12"/>
        <v/>
      </c>
      <c r="CK13" s="112" t="str">
        <f t="shared" si="13"/>
        <v/>
      </c>
      <c r="CL13" s="113" t="str">
        <f t="shared" si="14"/>
        <v/>
      </c>
      <c r="CM13" s="113" t="str">
        <f t="shared" si="15"/>
        <v>Top 50%</v>
      </c>
      <c r="CN13" s="114" t="str">
        <f t="shared" si="16"/>
        <v>Top 75%</v>
      </c>
      <c r="CO13" s="115"/>
      <c r="CR13" s="116">
        <f t="shared" si="17"/>
        <v>2</v>
      </c>
      <c r="CS13" s="117" t="str">
        <f t="shared" si="18"/>
        <v/>
      </c>
      <c r="CT13" s="118">
        <f t="shared" si="19"/>
        <v>3</v>
      </c>
      <c r="CU13" s="119" t="str">
        <f t="shared" si="20"/>
        <v/>
      </c>
      <c r="CW13" s="120" t="str">
        <f t="shared" si="21"/>
        <v>2</v>
      </c>
      <c r="CX13" s="120" t="str">
        <f t="shared" si="22"/>
        <v>3</v>
      </c>
    </row>
    <row r="14" spans="1:121" ht="28.5" customHeight="1" x14ac:dyDescent="0.35">
      <c r="A14" s="4" t="s">
        <v>409</v>
      </c>
      <c r="B14" s="3" t="s">
        <v>102</v>
      </c>
      <c r="C14" s="4" t="s">
        <v>103</v>
      </c>
      <c r="D14" s="4" t="s">
        <v>104</v>
      </c>
      <c r="E14" s="4" t="s">
        <v>105</v>
      </c>
      <c r="F14" s="4" t="s">
        <v>106</v>
      </c>
      <c r="G14" s="4" t="s">
        <v>31</v>
      </c>
      <c r="H14" s="4" t="s">
        <v>90</v>
      </c>
      <c r="I14" s="4" t="s">
        <v>91</v>
      </c>
      <c r="J14" s="4" t="s">
        <v>242</v>
      </c>
      <c r="K14" s="4"/>
      <c r="L14" s="4"/>
      <c r="M14" s="4"/>
      <c r="N14" s="4"/>
      <c r="O14" s="4"/>
      <c r="P14" s="8"/>
      <c r="Q14" s="4" t="s">
        <v>30</v>
      </c>
      <c r="R14" s="4" t="s">
        <v>1276</v>
      </c>
      <c r="S14" s="4"/>
      <c r="T14" s="4" t="s">
        <v>107</v>
      </c>
      <c r="U14" s="4" t="s">
        <v>31</v>
      </c>
      <c r="V14" s="4" t="s">
        <v>255</v>
      </c>
      <c r="W14" s="4" t="s">
        <v>34</v>
      </c>
      <c r="X14" s="4" t="s">
        <v>32</v>
      </c>
      <c r="Y14" s="4" t="s">
        <v>288</v>
      </c>
      <c r="Z14" s="4">
        <v>25</v>
      </c>
      <c r="AA14" s="5">
        <f>LOG(8511)</f>
        <v>3.9299805905155147</v>
      </c>
      <c r="AB14" s="4" t="s">
        <v>313</v>
      </c>
      <c r="AC14" s="4" t="s">
        <v>101</v>
      </c>
      <c r="AD14" s="17"/>
      <c r="AE14" s="92" cm="1">
        <f t="array" ref="AE14">_xlfn.IFS(COUNTIF(Table14623[[#This Row],[PBT/ vPvB]],"*X*"), 20, TRUE, "")</f>
        <v>20</v>
      </c>
      <c r="AF14" s="93" t="str" cm="1">
        <f t="array" ref="AF14">_xlfn.IFS(COUNTIF(Table14623[[#This Row],[Perturbateur Endocrinien]],"*X*"), 20, TRUE, "")</f>
        <v/>
      </c>
      <c r="AG14" s="93" t="str" cm="1">
        <f t="array" ref="AG14">_xlfn.IFS(COUNTIF(Table14623[[#This Row],[Phrases H]],"*H350*"), 20, TRUE, "")</f>
        <v/>
      </c>
      <c r="AH14" s="93" t="str" cm="1">
        <f t="array" ref="AH14">_xlfn.IFS(COUNTIF(Table14623[[#This Row],[Phrases H]],"*H360*"), 20, TRUE, "")</f>
        <v/>
      </c>
      <c r="AI14" s="93" t="str" cm="1">
        <f t="array" ref="AI14">_xlfn.IFS(COUNTIF(Table14623[[#This Row],[Phrases H]],"*H340*"), 20, TRUE, "")</f>
        <v/>
      </c>
      <c r="AJ14" s="93" t="str" cm="1">
        <f t="array" ref="AJ14">_xlfn.IFS(COUNTIF(Table14623[[#This Row],[Phrases H]],"*H351*"), 10, TRUE, "")</f>
        <v/>
      </c>
      <c r="AK14" s="93" cm="1">
        <f t="array" ref="AK14">_xlfn.IFS(COUNTIF(Table14623[[#This Row],[Phrases H]],"*H361*"), 10, TRUE, "")</f>
        <v>10</v>
      </c>
      <c r="AL14" s="93" t="str" cm="1">
        <f t="array" ref="AL14">_xlfn.IFS(COUNTIF(Table14623[[#This Row],[Phrases H]],"*H362*"), 10, TRUE, "")</f>
        <v/>
      </c>
      <c r="AM14" s="93" t="str" cm="1">
        <f t="array" ref="AM14">_xlfn.IFS(COUNTIF(Table14623[[#This Row],[Phrases H]],"*H341*"), 10, TRUE, "")</f>
        <v/>
      </c>
      <c r="AN14" s="93" t="str" cm="1">
        <f t="array" ref="AN14">_xlfn.IFS(COUNTIF(Table14623[[#This Row],[Phrases H]],"*H372*"), 10, TRUE, "")</f>
        <v/>
      </c>
      <c r="AO14" s="93" cm="1">
        <f t="array" ref="AO14">_xlfn.IFS(COUNTIF(Table14623[[#This Row],[Phrases H]],"*H410*"), 10, TRUE, "")</f>
        <v>10</v>
      </c>
      <c r="AP14" s="93" cm="1">
        <f t="array" ref="AP14">_xlfn.IFS(COUNTIF(Table14623[[#This Row],[Phrases H]],"*H373*"), 5, TRUE, "")</f>
        <v>5</v>
      </c>
      <c r="AQ14" s="93" t="str" cm="1">
        <f t="array" ref="AQ14">_xlfn.IFS(COUNTIF(Table14623[[#This Row],[Phrases H]],"*H411*"), 5, TRUE, "")</f>
        <v/>
      </c>
      <c r="AR14" s="94">
        <f t="shared" si="0"/>
        <v>45</v>
      </c>
      <c r="AS14" s="95"/>
      <c r="AT14" s="96">
        <v>10000</v>
      </c>
      <c r="AU14" s="97" t="s">
        <v>337</v>
      </c>
      <c r="AV14" s="98">
        <f t="shared" si="24"/>
        <v>20</v>
      </c>
      <c r="AW14" s="99" t="str">
        <f t="shared" si="2"/>
        <v>Production élevée</v>
      </c>
      <c r="AX14" s="95"/>
      <c r="AY14" s="100">
        <f t="shared" si="3"/>
        <v>65</v>
      </c>
      <c r="BA14" s="96">
        <v>0.33</v>
      </c>
      <c r="BB14" s="101">
        <f t="shared" si="4"/>
        <v>20</v>
      </c>
      <c r="BC14" s="98" t="str">
        <f t="shared" si="5"/>
        <v>Peu mobile</v>
      </c>
      <c r="BD14" s="121">
        <f>LOG(8511)</f>
        <v>3.9299805905155147</v>
      </c>
      <c r="BE14" s="98" t="str">
        <f t="shared" si="6"/>
        <v>Non mobile</v>
      </c>
      <c r="BF14" s="97">
        <v>452.5</v>
      </c>
      <c r="BG14" s="97">
        <v>0</v>
      </c>
      <c r="BH14" s="97" t="s">
        <v>31</v>
      </c>
      <c r="BI14" s="98" t="str">
        <f t="shared" si="23"/>
        <v>N/A</v>
      </c>
      <c r="BJ14" s="102" t="s">
        <v>354</v>
      </c>
      <c r="BK14" s="103" t="s">
        <v>31</v>
      </c>
      <c r="BM14" s="104" t="str">
        <f t="shared" si="7"/>
        <v>45, Production élevée (20), Peu mobile (solubilité), Non mobile (log Koc), N/A, Pas facilement biodégradable,N/A</v>
      </c>
      <c r="BT14" s="30">
        <v>45</v>
      </c>
      <c r="BU14" s="31" t="s">
        <v>385</v>
      </c>
      <c r="BV14" s="31" t="s">
        <v>371</v>
      </c>
      <c r="BW14" s="31" t="s">
        <v>361</v>
      </c>
      <c r="BX14" s="31" t="s">
        <v>366</v>
      </c>
      <c r="BY14" s="31" t="s">
        <v>363</v>
      </c>
      <c r="BZ14" s="32" t="s">
        <v>31</v>
      </c>
      <c r="CB14" s="105"/>
      <c r="CC14" s="106">
        <v>0</v>
      </c>
      <c r="CE14" s="107">
        <f t="shared" si="8"/>
        <v>54</v>
      </c>
      <c r="CF14" s="108">
        <f t="shared" si="9"/>
        <v>0.68354430379746833</v>
      </c>
      <c r="CG14" s="109"/>
      <c r="CH14" s="110" t="str">
        <f t="shared" si="10"/>
        <v>Catégorie 4</v>
      </c>
      <c r="CI14" s="111" t="str">
        <f t="shared" si="11"/>
        <v>c</v>
      </c>
      <c r="CJ14" s="112" t="str">
        <f t="shared" si="12"/>
        <v/>
      </c>
      <c r="CK14" s="112" t="str">
        <f t="shared" si="13"/>
        <v/>
      </c>
      <c r="CL14" s="113" t="str">
        <f t="shared" si="14"/>
        <v>Top 25%</v>
      </c>
      <c r="CM14" s="113" t="str">
        <f t="shared" si="15"/>
        <v>Top 50%</v>
      </c>
      <c r="CN14" s="114" t="str">
        <f t="shared" si="16"/>
        <v>Top 75%</v>
      </c>
      <c r="CO14" s="115"/>
      <c r="CR14" s="116">
        <f t="shared" si="17"/>
        <v>3</v>
      </c>
      <c r="CS14" s="117" t="str">
        <f t="shared" si="18"/>
        <v>c</v>
      </c>
      <c r="CT14" s="118">
        <f t="shared" si="19"/>
        <v>4</v>
      </c>
      <c r="CU14" s="119" t="str">
        <f t="shared" si="20"/>
        <v>c</v>
      </c>
      <c r="CW14" s="120" t="str">
        <f t="shared" si="21"/>
        <v>3c</v>
      </c>
      <c r="CX14" s="120" t="str">
        <f t="shared" si="22"/>
        <v>4c</v>
      </c>
    </row>
    <row r="15" spans="1:121" ht="48" customHeight="1" x14ac:dyDescent="0.35">
      <c r="A15" s="4" t="s">
        <v>409</v>
      </c>
      <c r="B15" s="3" t="s">
        <v>230</v>
      </c>
      <c r="C15" s="4" t="s">
        <v>108</v>
      </c>
      <c r="D15" s="4" t="s">
        <v>109</v>
      </c>
      <c r="E15" s="4" t="s">
        <v>110</v>
      </c>
      <c r="F15" s="4" t="s">
        <v>111</v>
      </c>
      <c r="G15" s="4" t="s">
        <v>112</v>
      </c>
      <c r="H15" s="4" t="s">
        <v>90</v>
      </c>
      <c r="I15" s="4" t="s">
        <v>113</v>
      </c>
      <c r="J15" s="4" t="s">
        <v>243</v>
      </c>
      <c r="K15" s="4"/>
      <c r="L15" s="4"/>
      <c r="M15" s="4" t="s">
        <v>30</v>
      </c>
      <c r="N15" s="4"/>
      <c r="O15" s="4" t="s">
        <v>30</v>
      </c>
      <c r="P15" s="8"/>
      <c r="Q15" s="4"/>
      <c r="R15" s="4" t="s">
        <v>1273</v>
      </c>
      <c r="S15" s="4"/>
      <c r="T15" s="4" t="s">
        <v>114</v>
      </c>
      <c r="U15" s="4" t="s">
        <v>32</v>
      </c>
      <c r="V15" s="4" t="s">
        <v>115</v>
      </c>
      <c r="W15" s="4" t="s">
        <v>261</v>
      </c>
      <c r="X15" s="4" t="s">
        <v>272</v>
      </c>
      <c r="Y15" s="4" t="s">
        <v>289</v>
      </c>
      <c r="Z15" s="4" t="s">
        <v>32</v>
      </c>
      <c r="AA15" s="5">
        <f>LOG(229)</f>
        <v>2.3598354823398879</v>
      </c>
      <c r="AB15" s="4" t="s">
        <v>303</v>
      </c>
      <c r="AC15" s="4" t="s">
        <v>116</v>
      </c>
      <c r="AD15" s="17"/>
      <c r="AE15" s="92" t="str" cm="1">
        <f t="array" ref="AE15">_xlfn.IFS(COUNTIF(Table14623[[#This Row],[PBT/ vPvB]],"*X*"), 20, TRUE, "")</f>
        <v/>
      </c>
      <c r="AF15" s="93" t="str" cm="1">
        <f t="array" ref="AF15">_xlfn.IFS(COUNTIF(Table14623[[#This Row],[Perturbateur Endocrinien]],"*X*"), 20, TRUE, "")</f>
        <v/>
      </c>
      <c r="AG15" s="93" t="str" cm="1">
        <f t="array" ref="AG15">_xlfn.IFS(COUNTIF(Table14623[[#This Row],[Phrases H]],"*H350*"), 20, TRUE, "")</f>
        <v/>
      </c>
      <c r="AH15" s="93" t="str" cm="1">
        <f t="array" ref="AH15">_xlfn.IFS(COUNTIF(Table14623[[#This Row],[Phrases H]],"*H360*"), 20, TRUE, "")</f>
        <v/>
      </c>
      <c r="AI15" s="93" t="str" cm="1">
        <f t="array" ref="AI15">_xlfn.IFS(COUNTIF(Table14623[[#This Row],[Phrases H]],"*H340*"), 20, TRUE, "")</f>
        <v/>
      </c>
      <c r="AJ15" s="93" t="str" cm="1">
        <f t="array" ref="AJ15">_xlfn.IFS(COUNTIF(Table14623[[#This Row],[Phrases H]],"*H351*"), 10, TRUE, "")</f>
        <v/>
      </c>
      <c r="AK15" s="93" t="str" cm="1">
        <f t="array" ref="AK15">_xlfn.IFS(COUNTIF(Table14623[[#This Row],[Phrases H]],"*H361*"), 10, TRUE, "")</f>
        <v/>
      </c>
      <c r="AL15" s="93" t="str" cm="1">
        <f t="array" ref="AL15">_xlfn.IFS(COUNTIF(Table14623[[#This Row],[Phrases H]],"*H362*"), 10, TRUE, "")</f>
        <v/>
      </c>
      <c r="AM15" s="93" t="str" cm="1">
        <f t="array" ref="AM15">_xlfn.IFS(COUNTIF(Table14623[[#This Row],[Phrases H]],"*H341*"), 10, TRUE, "")</f>
        <v/>
      </c>
      <c r="AN15" s="93" t="str" cm="1">
        <f t="array" ref="AN15">_xlfn.IFS(COUNTIF(Table14623[[#This Row],[Phrases H]],"*H372*"), 10, TRUE, "")</f>
        <v/>
      </c>
      <c r="AO15" s="93" t="str" cm="1">
        <f t="array" ref="AO15">_xlfn.IFS(COUNTIF(Table14623[[#This Row],[Phrases H]],"*H410*"), 10, TRUE, "")</f>
        <v/>
      </c>
      <c r="AP15" s="93" t="str" cm="1">
        <f t="array" ref="AP15">_xlfn.IFS(COUNTIF(Table14623[[#This Row],[Phrases H]],"*H373*"), 5, TRUE, "")</f>
        <v/>
      </c>
      <c r="AQ15" s="93" t="str" cm="1">
        <f t="array" ref="AQ15">_xlfn.IFS(COUNTIF(Table14623[[#This Row],[Phrases H]],"*H411*"), 5, TRUE, "")</f>
        <v/>
      </c>
      <c r="AR15" s="94">
        <f t="shared" si="0"/>
        <v>0</v>
      </c>
      <c r="AS15" s="95"/>
      <c r="AT15" s="96">
        <v>0</v>
      </c>
      <c r="AU15" s="97" t="s">
        <v>337</v>
      </c>
      <c r="AV15" s="98">
        <f t="shared" si="24"/>
        <v>5</v>
      </c>
      <c r="AW15" s="99" t="str">
        <f t="shared" si="2"/>
        <v>Très faible production</v>
      </c>
      <c r="AX15" s="95"/>
      <c r="AY15" s="100">
        <f t="shared" si="3"/>
        <v>5</v>
      </c>
      <c r="BA15" s="96">
        <v>1080</v>
      </c>
      <c r="BB15" s="101">
        <f t="shared" si="4"/>
        <v>40</v>
      </c>
      <c r="BC15" s="98" t="str">
        <f t="shared" si="5"/>
        <v>Mobile</v>
      </c>
      <c r="BD15" s="121">
        <f>LOG(229)</f>
        <v>2.3598354823398879</v>
      </c>
      <c r="BE15" s="98" t="str">
        <f t="shared" si="6"/>
        <v>Mobile</v>
      </c>
      <c r="BF15" s="97">
        <v>327.60000000000002</v>
      </c>
      <c r="BG15" s="97">
        <v>1E-3</v>
      </c>
      <c r="BH15" s="97">
        <v>4.431525E-2</v>
      </c>
      <c r="BI15" s="98" t="str">
        <f t="shared" si="23"/>
        <v>Non volatil</v>
      </c>
      <c r="BJ15" s="102" t="s">
        <v>356</v>
      </c>
      <c r="BK15" s="103" t="s">
        <v>341</v>
      </c>
      <c r="BM15" s="104" t="str">
        <f t="shared" si="7"/>
        <v>0, Très faible production (5), Mobile (solubilité), Mobile (log Koc), Non volatil, Biodégradable par nature,EUROFINS</v>
      </c>
      <c r="BT15" s="30">
        <v>0</v>
      </c>
      <c r="BU15" s="31" t="s">
        <v>367</v>
      </c>
      <c r="BV15" s="31" t="s">
        <v>368</v>
      </c>
      <c r="BW15" s="31" t="s">
        <v>372</v>
      </c>
      <c r="BX15" s="31" t="s">
        <v>362</v>
      </c>
      <c r="BY15" s="31" t="s">
        <v>370</v>
      </c>
      <c r="BZ15" s="32" t="s">
        <v>341</v>
      </c>
      <c r="CB15" s="105"/>
      <c r="CC15" s="106">
        <v>0</v>
      </c>
      <c r="CE15" s="107">
        <f t="shared" si="8"/>
        <v>3</v>
      </c>
      <c r="CF15" s="108">
        <f t="shared" si="9"/>
        <v>3.7974683544303799E-2</v>
      </c>
      <c r="CG15" s="109"/>
      <c r="CH15" s="110" t="str">
        <f t="shared" si="10"/>
        <v>Catégorie 1</v>
      </c>
      <c r="CI15" s="111" t="str">
        <f t="shared" si="11"/>
        <v/>
      </c>
      <c r="CJ15" s="112" t="str">
        <f t="shared" si="12"/>
        <v/>
      </c>
      <c r="CK15" s="112" t="str">
        <f t="shared" si="13"/>
        <v/>
      </c>
      <c r="CL15" s="113" t="str">
        <f t="shared" si="14"/>
        <v/>
      </c>
      <c r="CM15" s="113" t="str">
        <f t="shared" si="15"/>
        <v/>
      </c>
      <c r="CN15" s="114" t="str">
        <f t="shared" si="16"/>
        <v/>
      </c>
      <c r="CO15" s="115"/>
      <c r="CR15" s="116">
        <f t="shared" si="17"/>
        <v>1</v>
      </c>
      <c r="CS15" s="117" t="str">
        <f t="shared" si="18"/>
        <v/>
      </c>
      <c r="CT15" s="118">
        <f t="shared" si="19"/>
        <v>1</v>
      </c>
      <c r="CU15" s="119" t="str">
        <f t="shared" si="20"/>
        <v/>
      </c>
      <c r="CW15" s="120" t="str">
        <f t="shared" si="21"/>
        <v>1</v>
      </c>
      <c r="CX15" s="120" t="str">
        <f t="shared" si="22"/>
        <v>1</v>
      </c>
      <c r="DQ15" s="2"/>
    </row>
    <row r="16" spans="1:121" ht="30" customHeight="1" x14ac:dyDescent="0.35">
      <c r="A16" s="4" t="s">
        <v>409</v>
      </c>
      <c r="B16" s="3" t="s">
        <v>229</v>
      </c>
      <c r="C16" s="4" t="s">
        <v>26</v>
      </c>
      <c r="D16" s="4" t="s">
        <v>121</v>
      </c>
      <c r="E16" s="4" t="s">
        <v>122</v>
      </c>
      <c r="F16" s="4" t="s">
        <v>123</v>
      </c>
      <c r="G16" s="4" t="s">
        <v>124</v>
      </c>
      <c r="H16" s="4" t="s">
        <v>119</v>
      </c>
      <c r="I16" s="4" t="s">
        <v>120</v>
      </c>
      <c r="J16" s="4" t="s">
        <v>244</v>
      </c>
      <c r="K16" s="4"/>
      <c r="L16" s="4"/>
      <c r="M16" s="4"/>
      <c r="N16" s="4"/>
      <c r="O16" s="4" t="s">
        <v>30</v>
      </c>
      <c r="P16" s="8"/>
      <c r="Q16" s="4"/>
      <c r="R16" s="4" t="s">
        <v>31</v>
      </c>
      <c r="S16" s="4"/>
      <c r="T16" s="4" t="s">
        <v>125</v>
      </c>
      <c r="U16" s="4" t="s">
        <v>52</v>
      </c>
      <c r="V16" s="7" t="s">
        <v>126</v>
      </c>
      <c r="W16" s="4" t="s">
        <v>51</v>
      </c>
      <c r="X16" s="4" t="s">
        <v>118</v>
      </c>
      <c r="Y16" s="4" t="s">
        <v>32</v>
      </c>
      <c r="Z16" s="4" t="s">
        <v>32</v>
      </c>
      <c r="AA16" s="5">
        <v>1.65</v>
      </c>
      <c r="AB16" s="4" t="s">
        <v>304</v>
      </c>
      <c r="AC16" s="4" t="s">
        <v>127</v>
      </c>
      <c r="AD16" s="17"/>
      <c r="AE16" s="92" t="str" cm="1">
        <f t="array" ref="AE16">_xlfn.IFS(COUNTIF(Table14623[[#This Row],[PBT/ vPvB]],"*X*"), 20, TRUE, "")</f>
        <v/>
      </c>
      <c r="AF16" s="93" t="str" cm="1">
        <f t="array" ref="AF16">_xlfn.IFS(COUNTIF(Table14623[[#This Row],[Perturbateur Endocrinien]],"*X*"), 20, TRUE, "")</f>
        <v/>
      </c>
      <c r="AG16" s="93" t="str" cm="1">
        <f t="array" ref="AG16">_xlfn.IFS(COUNTIF(Table14623[[#This Row],[Phrases H]],"*H350*"), 20, TRUE, "")</f>
        <v/>
      </c>
      <c r="AH16" s="93" t="str" cm="1">
        <f t="array" ref="AH16">_xlfn.IFS(COUNTIF(Table14623[[#This Row],[Phrases H]],"*H360*"), 20, TRUE, "")</f>
        <v/>
      </c>
      <c r="AI16" s="93" t="str" cm="1">
        <f t="array" ref="AI16">_xlfn.IFS(COUNTIF(Table14623[[#This Row],[Phrases H]],"*H340*"), 20, TRUE, "")</f>
        <v/>
      </c>
      <c r="AJ16" s="93" cm="1">
        <f t="array" ref="AJ16">_xlfn.IFS(COUNTIF(Table14623[[#This Row],[Phrases H]],"*H351*"), 10, TRUE, "")</f>
        <v>10</v>
      </c>
      <c r="AK16" s="93" t="str" cm="1">
        <f t="array" ref="AK16">_xlfn.IFS(COUNTIF(Table14623[[#This Row],[Phrases H]],"*H361*"), 10, TRUE, "")</f>
        <v/>
      </c>
      <c r="AL16" s="93" t="str" cm="1">
        <f t="array" ref="AL16">_xlfn.IFS(COUNTIF(Table14623[[#This Row],[Phrases H]],"*H362*"), 10, TRUE, "")</f>
        <v/>
      </c>
      <c r="AM16" s="93" t="str" cm="1">
        <f t="array" ref="AM16">_xlfn.IFS(COUNTIF(Table14623[[#This Row],[Phrases H]],"*H341*"), 10, TRUE, "")</f>
        <v/>
      </c>
      <c r="AN16" s="93" t="str" cm="1">
        <f t="array" ref="AN16">_xlfn.IFS(COUNTIF(Table14623[[#This Row],[Phrases H]],"*H372*"), 10, TRUE, "")</f>
        <v/>
      </c>
      <c r="AO16" s="93" t="str" cm="1">
        <f t="array" ref="AO16">_xlfn.IFS(COUNTIF(Table14623[[#This Row],[Phrases H]],"*H410*"), 10, TRUE, "")</f>
        <v/>
      </c>
      <c r="AP16" s="93" cm="1">
        <f t="array" ref="AP16">_xlfn.IFS(COUNTIF(Table14623[[#This Row],[Phrases H]],"*H373*"), 5, TRUE, "")</f>
        <v>5</v>
      </c>
      <c r="AQ16" s="93" t="str" cm="1">
        <f t="array" ref="AQ16">_xlfn.IFS(COUNTIF(Table14623[[#This Row],[Phrases H]],"*H411*"), 5, TRUE, "")</f>
        <v/>
      </c>
      <c r="AR16" s="94">
        <f t="shared" si="0"/>
        <v>15</v>
      </c>
      <c r="AS16" s="95"/>
      <c r="AT16" s="96">
        <v>100000</v>
      </c>
      <c r="AU16" s="97" t="s">
        <v>337</v>
      </c>
      <c r="AV16" s="98">
        <f t="shared" si="24"/>
        <v>25</v>
      </c>
      <c r="AW16" s="99" t="str">
        <f t="shared" si="2"/>
        <v>Production très élevée</v>
      </c>
      <c r="AX16" s="95"/>
      <c r="AY16" s="100">
        <f t="shared" si="3"/>
        <v>40</v>
      </c>
      <c r="BA16" s="122">
        <v>1E+47</v>
      </c>
      <c r="BB16" s="101">
        <f t="shared" si="4"/>
        <v>50</v>
      </c>
      <c r="BC16" s="98" t="str">
        <f t="shared" si="5"/>
        <v>Très mobile</v>
      </c>
      <c r="BD16" s="121">
        <v>1.65</v>
      </c>
      <c r="BE16" s="98" t="str">
        <f t="shared" si="6"/>
        <v>Très mobile</v>
      </c>
      <c r="BF16" s="97">
        <v>121.76</v>
      </c>
      <c r="BG16" s="97">
        <v>0</v>
      </c>
      <c r="BH16" s="97">
        <v>0</v>
      </c>
      <c r="BI16" s="98" t="str">
        <f t="shared" si="23"/>
        <v>Non volatil</v>
      </c>
      <c r="BJ16" s="102" t="s">
        <v>31</v>
      </c>
      <c r="BK16" s="103" t="s">
        <v>341</v>
      </c>
      <c r="BM16" s="104" t="str">
        <f t="shared" si="7"/>
        <v>15, Production très élevée (25), Très mobile (solubilité), Très mobile (log Koc), Non volatil, N/A,EUROFINS</v>
      </c>
      <c r="BT16" s="30">
        <v>15</v>
      </c>
      <c r="BU16" s="31" t="s">
        <v>365</v>
      </c>
      <c r="BV16" s="31" t="s">
        <v>376</v>
      </c>
      <c r="BW16" s="31" t="s">
        <v>369</v>
      </c>
      <c r="BX16" s="31" t="s">
        <v>362</v>
      </c>
      <c r="BY16" s="31" t="s">
        <v>366</v>
      </c>
      <c r="BZ16" s="32" t="s">
        <v>341</v>
      </c>
      <c r="CB16" s="105" t="s">
        <v>392</v>
      </c>
      <c r="CC16" s="106">
        <v>1</v>
      </c>
      <c r="CE16" s="107">
        <f t="shared" si="8"/>
        <v>34</v>
      </c>
      <c r="CF16" s="108">
        <f t="shared" si="9"/>
        <v>0.43037974683544306</v>
      </c>
      <c r="CG16" s="109"/>
      <c r="CH16" s="110" t="str">
        <f t="shared" si="10"/>
        <v>Catégorie 3</v>
      </c>
      <c r="CI16" s="111" t="str">
        <f t="shared" si="11"/>
        <v/>
      </c>
      <c r="CJ16" s="112" t="str">
        <f t="shared" si="12"/>
        <v/>
      </c>
      <c r="CK16" s="112" t="str">
        <f t="shared" si="13"/>
        <v/>
      </c>
      <c r="CL16" s="113" t="str">
        <f t="shared" si="14"/>
        <v/>
      </c>
      <c r="CM16" s="113" t="str">
        <f t="shared" si="15"/>
        <v/>
      </c>
      <c r="CN16" s="114" t="str">
        <f t="shared" si="16"/>
        <v>Top 75%</v>
      </c>
      <c r="CO16" s="115"/>
      <c r="CR16" s="116">
        <f t="shared" ref="CR16:CR22" si="25">IF(AND(BT16&gt;=0,BT16&lt;=15),1,IF(AND(BT16&gt;=16,BT16&lt;=30),2,IF(AND(BT16&gt;=31,BT16&lt;=45),3,IF(AND(BT16&gt;=46,BT16&lt;=60),4,IF(AND(BT16&gt;=61,BT16&lt;=75),5,"")))))</f>
        <v>1</v>
      </c>
      <c r="CS16" s="117" t="str">
        <f t="shared" si="18"/>
        <v/>
      </c>
      <c r="CT16" s="118">
        <f t="shared" si="19"/>
        <v>3</v>
      </c>
      <c r="CU16" s="119" t="str">
        <f t="shared" si="20"/>
        <v/>
      </c>
      <c r="CW16" s="120" t="str">
        <f t="shared" si="21"/>
        <v>1</v>
      </c>
      <c r="CX16" s="120" t="str">
        <f t="shared" si="22"/>
        <v>3</v>
      </c>
      <c r="DQ16" s="2"/>
    </row>
    <row r="17" spans="1:121" ht="30" customHeight="1" x14ac:dyDescent="0.35">
      <c r="A17" s="4" t="s">
        <v>409</v>
      </c>
      <c r="B17" s="3" t="s">
        <v>128</v>
      </c>
      <c r="C17" s="4" t="s">
        <v>228</v>
      </c>
      <c r="D17" s="4" t="s">
        <v>129</v>
      </c>
      <c r="E17" s="4" t="s">
        <v>130</v>
      </c>
      <c r="F17" s="4" t="s">
        <v>131</v>
      </c>
      <c r="G17" s="4" t="s">
        <v>31</v>
      </c>
      <c r="H17" s="4" t="s">
        <v>119</v>
      </c>
      <c r="I17" s="4" t="s">
        <v>120</v>
      </c>
      <c r="J17" s="4" t="s">
        <v>241</v>
      </c>
      <c r="K17" s="4"/>
      <c r="L17" s="4"/>
      <c r="M17" s="4"/>
      <c r="N17" s="4"/>
      <c r="O17" s="4"/>
      <c r="P17" s="8"/>
      <c r="Q17" s="4"/>
      <c r="R17" s="4" t="s">
        <v>31</v>
      </c>
      <c r="S17" s="4"/>
      <c r="T17" s="4" t="s">
        <v>132</v>
      </c>
      <c r="U17" s="4" t="s">
        <v>31</v>
      </c>
      <c r="V17" s="4" t="s">
        <v>133</v>
      </c>
      <c r="W17" s="4" t="s">
        <v>263</v>
      </c>
      <c r="X17" s="4" t="s">
        <v>32</v>
      </c>
      <c r="Y17" s="4" t="s">
        <v>290</v>
      </c>
      <c r="Z17" s="4" t="s">
        <v>32</v>
      </c>
      <c r="AA17" s="4" t="s">
        <v>31</v>
      </c>
      <c r="AB17" s="4" t="s">
        <v>32</v>
      </c>
      <c r="AC17" s="4" t="s">
        <v>134</v>
      </c>
      <c r="AD17" s="17"/>
      <c r="AE17" s="92" t="str" cm="1">
        <f t="array" ref="AE17">_xlfn.IFS(COUNTIF(Table14623[[#This Row],[PBT/ vPvB]],"*X*"), 20, TRUE, "")</f>
        <v/>
      </c>
      <c r="AF17" s="93" t="str" cm="1">
        <f t="array" ref="AF17">_xlfn.IFS(COUNTIF(Table14623[[#This Row],[Perturbateur Endocrinien]],"*X*"), 20, TRUE, "")</f>
        <v/>
      </c>
      <c r="AG17" s="93" t="str" cm="1">
        <f t="array" ref="AG17">_xlfn.IFS(COUNTIF(Table14623[[#This Row],[Phrases H]],"*H350*"), 20, TRUE, "")</f>
        <v/>
      </c>
      <c r="AH17" s="93" cm="1">
        <f t="array" ref="AH17">_xlfn.IFS(COUNTIF(Table14623[[#This Row],[Phrases H]],"*H360*"), 20, TRUE, "")</f>
        <v>20</v>
      </c>
      <c r="AI17" s="93" t="str" cm="1">
        <f t="array" ref="AI17">_xlfn.IFS(COUNTIF(Table14623[[#This Row],[Phrases H]],"*H340*"), 20, TRUE, "")</f>
        <v/>
      </c>
      <c r="AJ17" s="93" t="str" cm="1">
        <f t="array" ref="AJ17">_xlfn.IFS(COUNTIF(Table14623[[#This Row],[Phrases H]],"*H351*"), 10, TRUE, "")</f>
        <v/>
      </c>
      <c r="AK17" s="93" t="str" cm="1">
        <f t="array" ref="AK17">_xlfn.IFS(COUNTIF(Table14623[[#This Row],[Phrases H]],"*H361*"), 10, TRUE, "")</f>
        <v/>
      </c>
      <c r="AL17" s="93" t="str" cm="1">
        <f t="array" ref="AL17">_xlfn.IFS(COUNTIF(Table14623[[#This Row],[Phrases H]],"*H362*"), 10, TRUE, "")</f>
        <v/>
      </c>
      <c r="AM17" s="93" t="str" cm="1">
        <f t="array" ref="AM17">_xlfn.IFS(COUNTIF(Table14623[[#This Row],[Phrases H]],"*H341*"), 10, TRUE, "")</f>
        <v/>
      </c>
      <c r="AN17" s="93" cm="1">
        <f t="array" ref="AN17">_xlfn.IFS(COUNTIF(Table14623[[#This Row],[Phrases H]],"*H372*"), 10, TRUE, "")</f>
        <v>10</v>
      </c>
      <c r="AO17" s="93" t="str" cm="1">
        <f t="array" ref="AO17">_xlfn.IFS(COUNTIF(Table14623[[#This Row],[Phrases H]],"*H410*"), 10, TRUE, "")</f>
        <v/>
      </c>
      <c r="AP17" s="93" t="str" cm="1">
        <f t="array" ref="AP17">_xlfn.IFS(COUNTIF(Table14623[[#This Row],[Phrases H]],"*H373*"), 5, TRUE, "")</f>
        <v/>
      </c>
      <c r="AQ17" s="93" cm="1">
        <f t="array" ref="AQ17">_xlfn.IFS(COUNTIF(Table14623[[#This Row],[Phrases H]],"*H411*"), 5, TRUE, "")</f>
        <v>5</v>
      </c>
      <c r="AR17" s="94">
        <f t="shared" si="0"/>
        <v>35</v>
      </c>
      <c r="AS17" s="95"/>
      <c r="AT17" s="96">
        <v>10000</v>
      </c>
      <c r="AU17" s="97" t="s">
        <v>337</v>
      </c>
      <c r="AV17" s="98">
        <f t="shared" si="24"/>
        <v>20</v>
      </c>
      <c r="AW17" s="99" t="str">
        <f t="shared" si="2"/>
        <v>Production élevée</v>
      </c>
      <c r="AX17" s="95"/>
      <c r="AY17" s="100">
        <f t="shared" si="3"/>
        <v>55</v>
      </c>
      <c r="BA17" s="96">
        <v>594</v>
      </c>
      <c r="BB17" s="101">
        <f t="shared" si="4"/>
        <v>30</v>
      </c>
      <c r="BC17" s="98" t="str">
        <f t="shared" si="5"/>
        <v>Moyennement mobile</v>
      </c>
      <c r="BD17" s="97" t="s">
        <v>31</v>
      </c>
      <c r="BE17" s="98" t="str">
        <f t="shared" si="6"/>
        <v>N/A</v>
      </c>
      <c r="BF17" s="97">
        <v>246.792</v>
      </c>
      <c r="BG17" s="97">
        <v>3266.4</v>
      </c>
      <c r="BH17" s="97" t="s">
        <v>31</v>
      </c>
      <c r="BI17" s="98" t="str">
        <f t="shared" si="23"/>
        <v>N/A</v>
      </c>
      <c r="BJ17" s="102" t="s">
        <v>31</v>
      </c>
      <c r="BK17" s="103" t="s">
        <v>31</v>
      </c>
      <c r="BM17" s="104" t="str">
        <f t="shared" si="7"/>
        <v>35, Production élevée (20), Moyennement mobile (solubilité), N/A (log Koc), N/A, N/A,N/A</v>
      </c>
      <c r="BT17" s="30">
        <v>35</v>
      </c>
      <c r="BU17" s="31" t="s">
        <v>385</v>
      </c>
      <c r="BV17" s="31" t="s">
        <v>360</v>
      </c>
      <c r="BW17" s="31" t="s">
        <v>377</v>
      </c>
      <c r="BX17" s="31" t="s">
        <v>366</v>
      </c>
      <c r="BY17" s="31" t="s">
        <v>366</v>
      </c>
      <c r="BZ17" s="32" t="s">
        <v>31</v>
      </c>
      <c r="CB17" s="105"/>
      <c r="CC17" s="106">
        <v>0</v>
      </c>
      <c r="CE17" s="107">
        <f t="shared" si="8"/>
        <v>44.666666666666664</v>
      </c>
      <c r="CF17" s="108">
        <f t="shared" si="9"/>
        <v>0.56540084388185652</v>
      </c>
      <c r="CG17" s="109"/>
      <c r="CH17" s="110" t="str">
        <f t="shared" si="10"/>
        <v>Catégorie 3</v>
      </c>
      <c r="CI17" s="111" t="str">
        <f t="shared" si="11"/>
        <v>c</v>
      </c>
      <c r="CJ17" s="112" t="str">
        <f t="shared" si="12"/>
        <v/>
      </c>
      <c r="CK17" s="112" t="str">
        <f t="shared" si="13"/>
        <v/>
      </c>
      <c r="CL17" s="113" t="str">
        <f t="shared" si="14"/>
        <v/>
      </c>
      <c r="CM17" s="113" t="str">
        <f t="shared" si="15"/>
        <v>Top 50%</v>
      </c>
      <c r="CN17" s="114" t="str">
        <f t="shared" si="16"/>
        <v>Top 75%</v>
      </c>
      <c r="CO17" s="115"/>
      <c r="CR17" s="116">
        <f t="shared" si="25"/>
        <v>3</v>
      </c>
      <c r="CS17" s="117" t="str">
        <f t="shared" si="18"/>
        <v>c</v>
      </c>
      <c r="CT17" s="118">
        <f t="shared" si="19"/>
        <v>4</v>
      </c>
      <c r="CU17" s="119" t="str">
        <f t="shared" si="20"/>
        <v>c</v>
      </c>
      <c r="CW17" s="120" t="str">
        <f t="shared" si="21"/>
        <v>3c</v>
      </c>
      <c r="CX17" s="120" t="str">
        <f t="shared" si="22"/>
        <v>4c</v>
      </c>
    </row>
    <row r="18" spans="1:121" ht="30" customHeight="1" x14ac:dyDescent="0.35">
      <c r="A18" s="4" t="s">
        <v>409</v>
      </c>
      <c r="B18" s="3" t="s">
        <v>135</v>
      </c>
      <c r="C18" s="4" t="s">
        <v>26</v>
      </c>
      <c r="D18" s="4" t="s">
        <v>136</v>
      </c>
      <c r="E18" s="4" t="s">
        <v>137</v>
      </c>
      <c r="F18" s="4" t="s">
        <v>138</v>
      </c>
      <c r="G18" s="4" t="s">
        <v>139</v>
      </c>
      <c r="H18" s="4" t="s">
        <v>119</v>
      </c>
      <c r="I18" s="4"/>
      <c r="J18" s="4" t="s">
        <v>245</v>
      </c>
      <c r="K18" s="4"/>
      <c r="L18" s="4"/>
      <c r="M18" s="4"/>
      <c r="N18" s="4"/>
      <c r="O18" s="4" t="s">
        <v>30</v>
      </c>
      <c r="P18" s="8"/>
      <c r="Q18" s="4"/>
      <c r="R18" s="4" t="s">
        <v>31</v>
      </c>
      <c r="S18" s="4"/>
      <c r="T18" s="4" t="s">
        <v>140</v>
      </c>
      <c r="U18" s="4" t="s">
        <v>31</v>
      </c>
      <c r="V18" s="4" t="s">
        <v>141</v>
      </c>
      <c r="W18" s="4" t="s">
        <v>93</v>
      </c>
      <c r="X18" s="4" t="s">
        <v>118</v>
      </c>
      <c r="Y18" s="4" t="s">
        <v>32</v>
      </c>
      <c r="Z18" s="4" t="s">
        <v>32</v>
      </c>
      <c r="AA18" s="4">
        <v>3.18</v>
      </c>
      <c r="AB18" s="4" t="s">
        <v>305</v>
      </c>
      <c r="AC18" s="4" t="s">
        <v>142</v>
      </c>
      <c r="AD18" s="17"/>
      <c r="AE18" s="92" t="str" cm="1">
        <f t="array" ref="AE18">_xlfn.IFS(COUNTIF(Table14623[[#This Row],[PBT/ vPvB]],"*X*"), 20, TRUE, "")</f>
        <v/>
      </c>
      <c r="AF18" s="93" t="str" cm="1">
        <f t="array" ref="AF18">_xlfn.IFS(COUNTIF(Table14623[[#This Row],[Perturbateur Endocrinien]],"*X*"), 20, TRUE, "")</f>
        <v/>
      </c>
      <c r="AG18" s="93" t="str" cm="1">
        <f t="array" ref="AG18">_xlfn.IFS(COUNTIF(Table14623[[#This Row],[Phrases H]],"*H350*"), 20, TRUE, "")</f>
        <v/>
      </c>
      <c r="AH18" s="93" t="str" cm="1">
        <f t="array" ref="AH18">_xlfn.IFS(COUNTIF(Table14623[[#This Row],[Phrases H]],"*H360*"), 20, TRUE, "")</f>
        <v/>
      </c>
      <c r="AI18" s="93" t="str" cm="1">
        <f t="array" ref="AI18">_xlfn.IFS(COUNTIF(Table14623[[#This Row],[Phrases H]],"*H340*"), 20, TRUE, "")</f>
        <v/>
      </c>
      <c r="AJ18" s="93" t="str" cm="1">
        <f t="array" ref="AJ18">_xlfn.IFS(COUNTIF(Table14623[[#This Row],[Phrases H]],"*H351*"), 10, TRUE, "")</f>
        <v/>
      </c>
      <c r="AK18" s="93" t="str" cm="1">
        <f t="array" ref="AK18">_xlfn.IFS(COUNTIF(Table14623[[#This Row],[Phrases H]],"*H361*"), 10, TRUE, "")</f>
        <v/>
      </c>
      <c r="AL18" s="93" t="str" cm="1">
        <f t="array" ref="AL18">_xlfn.IFS(COUNTIF(Table14623[[#This Row],[Phrases H]],"*H362*"), 10, TRUE, "")</f>
        <v/>
      </c>
      <c r="AM18" s="93" t="str" cm="1">
        <f t="array" ref="AM18">_xlfn.IFS(COUNTIF(Table14623[[#This Row],[Phrases H]],"*H341*"), 10, TRUE, "")</f>
        <v/>
      </c>
      <c r="AN18" s="93" t="str" cm="1">
        <f t="array" ref="AN18">_xlfn.IFS(COUNTIF(Table14623[[#This Row],[Phrases H]],"*H372*"), 10, TRUE, "")</f>
        <v/>
      </c>
      <c r="AO18" s="93" t="str" cm="1">
        <f t="array" ref="AO18">_xlfn.IFS(COUNTIF(Table14623[[#This Row],[Phrases H]],"*H410*"), 10, TRUE, "")</f>
        <v/>
      </c>
      <c r="AP18" s="93" t="str" cm="1">
        <f t="array" ref="AP18">_xlfn.IFS(COUNTIF(Table14623[[#This Row],[Phrases H]],"*H373*"), 5, TRUE, "")</f>
        <v/>
      </c>
      <c r="AQ18" s="93" t="str" cm="1">
        <f t="array" ref="AQ18">_xlfn.IFS(COUNTIF(Table14623[[#This Row],[Phrases H]],"*H411*"), 5, TRUE, "")</f>
        <v/>
      </c>
      <c r="AR18" s="94">
        <f t="shared" si="0"/>
        <v>0</v>
      </c>
      <c r="AS18" s="95"/>
      <c r="AT18" s="96" t="s">
        <v>336</v>
      </c>
      <c r="AU18" s="97" t="s">
        <v>337</v>
      </c>
      <c r="AV18" s="98">
        <f t="shared" si="24"/>
        <v>25</v>
      </c>
      <c r="AW18" s="99" t="str">
        <f t="shared" si="2"/>
        <v>Production très élevée</v>
      </c>
      <c r="AX18" s="95"/>
      <c r="AY18" s="100">
        <f t="shared" si="3"/>
        <v>25</v>
      </c>
      <c r="BA18" s="122">
        <v>1E+47</v>
      </c>
      <c r="BB18" s="101">
        <f t="shared" si="4"/>
        <v>50</v>
      </c>
      <c r="BC18" s="98" t="str">
        <f t="shared" si="5"/>
        <v>Très mobile</v>
      </c>
      <c r="BD18" s="97">
        <v>3.18</v>
      </c>
      <c r="BE18" s="98" t="str">
        <f t="shared" si="6"/>
        <v>Non mobile</v>
      </c>
      <c r="BF18" s="97">
        <v>26.981999999999999</v>
      </c>
      <c r="BG18" s="97">
        <v>0</v>
      </c>
      <c r="BH18" s="97">
        <v>0</v>
      </c>
      <c r="BI18" s="98" t="str">
        <f t="shared" si="23"/>
        <v>Non volatil</v>
      </c>
      <c r="BJ18" s="102" t="s">
        <v>31</v>
      </c>
      <c r="BK18" s="103" t="s">
        <v>341</v>
      </c>
      <c r="BM18" s="104" t="str">
        <f t="shared" si="7"/>
        <v>0, Production très élevée (25), Très mobile (solubilité), Non mobile (log Koc), Non volatil, N/A,EUROFINS</v>
      </c>
      <c r="BT18" s="30">
        <v>0</v>
      </c>
      <c r="BU18" s="31" t="s">
        <v>365</v>
      </c>
      <c r="BV18" s="31" t="s">
        <v>376</v>
      </c>
      <c r="BW18" s="31" t="s">
        <v>361</v>
      </c>
      <c r="BX18" s="31" t="s">
        <v>362</v>
      </c>
      <c r="BY18" s="31" t="s">
        <v>366</v>
      </c>
      <c r="BZ18" s="32" t="s">
        <v>341</v>
      </c>
      <c r="CB18" s="105" t="s">
        <v>392</v>
      </c>
      <c r="CC18" s="106">
        <v>1</v>
      </c>
      <c r="CE18" s="107">
        <f t="shared" si="8"/>
        <v>20</v>
      </c>
      <c r="CF18" s="108">
        <f t="shared" si="9"/>
        <v>0.25316455696202533</v>
      </c>
      <c r="CG18" s="109"/>
      <c r="CH18" s="110" t="str">
        <f t="shared" si="10"/>
        <v>Catégorie 2</v>
      </c>
      <c r="CI18" s="111" t="str">
        <f t="shared" si="11"/>
        <v/>
      </c>
      <c r="CJ18" s="112" t="str">
        <f t="shared" si="12"/>
        <v/>
      </c>
      <c r="CK18" s="112" t="str">
        <f t="shared" si="13"/>
        <v/>
      </c>
      <c r="CL18" s="113" t="str">
        <f t="shared" si="14"/>
        <v/>
      </c>
      <c r="CM18" s="113" t="str">
        <f t="shared" si="15"/>
        <v/>
      </c>
      <c r="CN18" s="114" t="str">
        <f t="shared" si="16"/>
        <v/>
      </c>
      <c r="CO18" s="115"/>
      <c r="CR18" s="116">
        <f t="shared" si="25"/>
        <v>1</v>
      </c>
      <c r="CS18" s="117" t="str">
        <f t="shared" si="18"/>
        <v/>
      </c>
      <c r="CT18" s="118">
        <f t="shared" si="19"/>
        <v>2</v>
      </c>
      <c r="CU18" s="119" t="str">
        <f t="shared" si="20"/>
        <v/>
      </c>
      <c r="CW18" s="120" t="str">
        <f t="shared" si="21"/>
        <v>1</v>
      </c>
      <c r="CX18" s="120" t="str">
        <f t="shared" si="22"/>
        <v>2</v>
      </c>
      <c r="DQ18" s="2"/>
    </row>
    <row r="19" spans="1:121" ht="30" customHeight="1" x14ac:dyDescent="0.35">
      <c r="A19" s="4" t="s">
        <v>409</v>
      </c>
      <c r="B19" s="3" t="s">
        <v>143</v>
      </c>
      <c r="C19" s="4" t="s">
        <v>144</v>
      </c>
      <c r="D19" s="4" t="s">
        <v>145</v>
      </c>
      <c r="E19" s="4" t="s">
        <v>146</v>
      </c>
      <c r="F19" s="4" t="s">
        <v>147</v>
      </c>
      <c r="G19" s="4" t="s">
        <v>148</v>
      </c>
      <c r="H19" s="4" t="s">
        <v>27</v>
      </c>
      <c r="I19" s="4"/>
      <c r="J19" s="4" t="s">
        <v>238</v>
      </c>
      <c r="K19" s="4"/>
      <c r="L19" s="4"/>
      <c r="M19" s="4"/>
      <c r="N19" s="4"/>
      <c r="O19" s="4"/>
      <c r="P19" s="8"/>
      <c r="Q19" s="4"/>
      <c r="R19" s="4" t="s">
        <v>1276</v>
      </c>
      <c r="S19" s="6" t="s">
        <v>30</v>
      </c>
      <c r="T19" s="4" t="s">
        <v>149</v>
      </c>
      <c r="U19" s="4" t="s">
        <v>40</v>
      </c>
      <c r="V19" s="4" t="s">
        <v>150</v>
      </c>
      <c r="W19" s="4" t="s">
        <v>264</v>
      </c>
      <c r="X19" s="4" t="s">
        <v>117</v>
      </c>
      <c r="Y19" s="4" t="s">
        <v>291</v>
      </c>
      <c r="Z19" s="4">
        <v>15</v>
      </c>
      <c r="AA19" s="5">
        <f>LOG(10.5)</f>
        <v>1.0211892990699381</v>
      </c>
      <c r="AB19" s="4" t="s">
        <v>306</v>
      </c>
      <c r="AC19" s="4" t="s">
        <v>151</v>
      </c>
      <c r="AD19" s="17"/>
      <c r="AE19" s="92" t="str" cm="1">
        <f t="array" ref="AE19">_xlfn.IFS(COUNTIF(Table14623[[#This Row],[PBT/ vPvB]],"*X*"), 20, TRUE, "")</f>
        <v/>
      </c>
      <c r="AF19" s="93" cm="1">
        <f t="array" ref="AF19">_xlfn.IFS(COUNTIF(Table14623[[#This Row],[Perturbateur Endocrinien]],"*X*"), 20, TRUE, "")</f>
        <v>20</v>
      </c>
      <c r="AG19" s="93" t="str" cm="1">
        <f t="array" ref="AG19">_xlfn.IFS(COUNTIF(Table14623[[#This Row],[Phrases H]],"*H350*"), 20, TRUE, "")</f>
        <v/>
      </c>
      <c r="AH19" s="93" t="str" cm="1">
        <f t="array" ref="AH19">_xlfn.IFS(COUNTIF(Table14623[[#This Row],[Phrases H]],"*H360*"), 20, TRUE, "")</f>
        <v/>
      </c>
      <c r="AI19" s="93" t="str" cm="1">
        <f t="array" ref="AI19">_xlfn.IFS(COUNTIF(Table14623[[#This Row],[Phrases H]],"*H340*"), 20, TRUE, "")</f>
        <v/>
      </c>
      <c r="AJ19" s="93" t="str" cm="1">
        <f t="array" ref="AJ19">_xlfn.IFS(COUNTIF(Table14623[[#This Row],[Phrases H]],"*H351*"), 10, TRUE, "")</f>
        <v/>
      </c>
      <c r="AK19" s="93" t="str" cm="1">
        <f t="array" ref="AK19">_xlfn.IFS(COUNTIF(Table14623[[#This Row],[Phrases H]],"*H361*"), 10, TRUE, "")</f>
        <v/>
      </c>
      <c r="AL19" s="93" t="str" cm="1">
        <f t="array" ref="AL19">_xlfn.IFS(COUNTIF(Table14623[[#This Row],[Phrases H]],"*H362*"), 10, TRUE, "")</f>
        <v/>
      </c>
      <c r="AM19" s="93" t="str" cm="1">
        <f t="array" ref="AM19">_xlfn.IFS(COUNTIF(Table14623[[#This Row],[Phrases H]],"*H341*"), 10, TRUE, "")</f>
        <v/>
      </c>
      <c r="AN19" s="93" t="str" cm="1">
        <f t="array" ref="AN19">_xlfn.IFS(COUNTIF(Table14623[[#This Row],[Phrases H]],"*H372*"), 10, TRUE, "")</f>
        <v/>
      </c>
      <c r="AO19" s="93" cm="1">
        <f t="array" ref="AO19">_xlfn.IFS(COUNTIF(Table14623[[#This Row],[Phrases H]],"*H410*"), 10, TRUE, "")</f>
        <v>10</v>
      </c>
      <c r="AP19" s="93" t="str" cm="1">
        <f t="array" ref="AP19">_xlfn.IFS(COUNTIF(Table14623[[#This Row],[Phrases H]],"*H373*"), 5, TRUE, "")</f>
        <v/>
      </c>
      <c r="AQ19" s="93" t="str" cm="1">
        <f t="array" ref="AQ19">_xlfn.IFS(COUNTIF(Table14623[[#This Row],[Phrases H]],"*H411*"), 5, TRUE, "")</f>
        <v/>
      </c>
      <c r="AR19" s="94">
        <f t="shared" si="0"/>
        <v>30</v>
      </c>
      <c r="AS19" s="95"/>
      <c r="AT19" s="96">
        <v>1000</v>
      </c>
      <c r="AU19" s="97" t="s">
        <v>337</v>
      </c>
      <c r="AV19" s="98">
        <f t="shared" si="24"/>
        <v>15</v>
      </c>
      <c r="AW19" s="99" t="str">
        <f t="shared" si="2"/>
        <v>Production modérée</v>
      </c>
      <c r="AX19" s="95"/>
      <c r="AY19" s="100">
        <f t="shared" si="3"/>
        <v>45</v>
      </c>
      <c r="BA19" s="96">
        <v>304000</v>
      </c>
      <c r="BB19" s="101">
        <f t="shared" si="4"/>
        <v>50</v>
      </c>
      <c r="BC19" s="98" t="str">
        <f t="shared" si="5"/>
        <v>Très mobile</v>
      </c>
      <c r="BD19" s="121">
        <f>LOG(10.5)</f>
        <v>1.0211892990699381</v>
      </c>
      <c r="BE19" s="98" t="str">
        <f t="shared" si="6"/>
        <v>Très mobile</v>
      </c>
      <c r="BF19" s="97">
        <v>199.99</v>
      </c>
      <c r="BG19" s="97">
        <v>5.0000000000000001E-3</v>
      </c>
      <c r="BH19" s="97">
        <v>0</v>
      </c>
      <c r="BI19" s="98" t="str">
        <f t="shared" si="23"/>
        <v>Non volatil</v>
      </c>
      <c r="BJ19" s="102" t="s">
        <v>354</v>
      </c>
      <c r="BK19" s="103" t="s">
        <v>31</v>
      </c>
      <c r="BM19" s="104" t="str">
        <f t="shared" si="7"/>
        <v>30, Production modérée (15), Très mobile (solubilité), Très mobile (log Koc), Non volatil, Pas facilement biodégradable,N/A</v>
      </c>
      <c r="BT19" s="30">
        <v>30</v>
      </c>
      <c r="BU19" s="31" t="s">
        <v>359</v>
      </c>
      <c r="BV19" s="31" t="s">
        <v>376</v>
      </c>
      <c r="BW19" s="31" t="s">
        <v>369</v>
      </c>
      <c r="BX19" s="31" t="s">
        <v>362</v>
      </c>
      <c r="BY19" s="31" t="s">
        <v>363</v>
      </c>
      <c r="BZ19" s="32" t="s">
        <v>31</v>
      </c>
      <c r="CB19" s="105"/>
      <c r="CC19" s="106">
        <v>0</v>
      </c>
      <c r="CE19" s="107">
        <f t="shared" si="8"/>
        <v>37</v>
      </c>
      <c r="CF19" s="108">
        <f t="shared" si="9"/>
        <v>0.46835443037974683</v>
      </c>
      <c r="CG19" s="109"/>
      <c r="CH19" s="110" t="str">
        <f t="shared" si="10"/>
        <v>Catégorie 3</v>
      </c>
      <c r="CI19" s="111" t="str">
        <f t="shared" si="11"/>
        <v>c</v>
      </c>
      <c r="CJ19" s="112" t="str">
        <f t="shared" si="12"/>
        <v/>
      </c>
      <c r="CK19" s="112" t="str">
        <f t="shared" si="13"/>
        <v/>
      </c>
      <c r="CL19" s="113" t="str">
        <f t="shared" si="14"/>
        <v/>
      </c>
      <c r="CM19" s="113" t="str">
        <f t="shared" si="15"/>
        <v/>
      </c>
      <c r="CN19" s="114" t="str">
        <f t="shared" si="16"/>
        <v>Top 75%</v>
      </c>
      <c r="CO19" s="115"/>
      <c r="CR19" s="116">
        <f t="shared" si="25"/>
        <v>2</v>
      </c>
      <c r="CS19" s="117" t="str">
        <f t="shared" si="18"/>
        <v>c</v>
      </c>
      <c r="CT19" s="118">
        <f t="shared" si="19"/>
        <v>3</v>
      </c>
      <c r="CU19" s="119" t="str">
        <f t="shared" si="20"/>
        <v>c</v>
      </c>
      <c r="CW19" s="120" t="str">
        <f t="shared" si="21"/>
        <v>2c</v>
      </c>
      <c r="CX19" s="120" t="str">
        <f t="shared" si="22"/>
        <v>3c</v>
      </c>
      <c r="DQ19" s="2"/>
    </row>
    <row r="20" spans="1:121" ht="30" customHeight="1" x14ac:dyDescent="0.35">
      <c r="A20" s="4" t="s">
        <v>409</v>
      </c>
      <c r="B20" s="3" t="s">
        <v>152</v>
      </c>
      <c r="C20" s="4" t="s">
        <v>26</v>
      </c>
      <c r="D20" s="4" t="s">
        <v>153</v>
      </c>
      <c r="E20" s="4" t="s">
        <v>154</v>
      </c>
      <c r="F20" s="4" t="s">
        <v>155</v>
      </c>
      <c r="G20" s="4" t="s">
        <v>156</v>
      </c>
      <c r="H20" s="4" t="s">
        <v>27</v>
      </c>
      <c r="I20" s="4"/>
      <c r="J20" s="4" t="s">
        <v>238</v>
      </c>
      <c r="K20" s="4"/>
      <c r="L20" s="4"/>
      <c r="M20" s="4"/>
      <c r="N20" s="4"/>
      <c r="O20" s="4" t="s">
        <v>30</v>
      </c>
      <c r="P20" s="8"/>
      <c r="Q20" s="4"/>
      <c r="R20" s="4" t="s">
        <v>1276</v>
      </c>
      <c r="S20" s="4"/>
      <c r="T20" s="4" t="s">
        <v>157</v>
      </c>
      <c r="U20" s="4" t="s">
        <v>40</v>
      </c>
      <c r="V20" s="7" t="s">
        <v>158</v>
      </c>
      <c r="W20" s="4" t="s">
        <v>159</v>
      </c>
      <c r="X20" s="4" t="s">
        <v>160</v>
      </c>
      <c r="Y20" s="4" t="s">
        <v>292</v>
      </c>
      <c r="Z20" s="4" t="s">
        <v>32</v>
      </c>
      <c r="AA20" s="4">
        <v>2.1</v>
      </c>
      <c r="AB20" s="4" t="s">
        <v>307</v>
      </c>
      <c r="AC20" s="4" t="s">
        <v>317</v>
      </c>
      <c r="AD20" s="17"/>
      <c r="AE20" s="92" t="str" cm="1">
        <f t="array" ref="AE20">_xlfn.IFS(COUNTIF(Table14623[[#This Row],[PBT/ vPvB]],"*X*"), 20, TRUE, "")</f>
        <v/>
      </c>
      <c r="AF20" s="93" t="str" cm="1">
        <f t="array" ref="AF20">_xlfn.IFS(COUNTIF(Table14623[[#This Row],[Perturbateur Endocrinien]],"*X*"), 20, TRUE, "")</f>
        <v/>
      </c>
      <c r="AG20" s="93" t="str" cm="1">
        <f t="array" ref="AG20">_xlfn.IFS(COUNTIF(Table14623[[#This Row],[Phrases H]],"*H350*"), 20, TRUE, "")</f>
        <v/>
      </c>
      <c r="AH20" s="93" t="str" cm="1">
        <f t="array" ref="AH20">_xlfn.IFS(COUNTIF(Table14623[[#This Row],[Phrases H]],"*H360*"), 20, TRUE, "")</f>
        <v/>
      </c>
      <c r="AI20" s="93" t="str" cm="1">
        <f t="array" ref="AI20">_xlfn.IFS(COUNTIF(Table14623[[#This Row],[Phrases H]],"*H340*"), 20, TRUE, "")</f>
        <v/>
      </c>
      <c r="AJ20" s="93" t="str" cm="1">
        <f t="array" ref="AJ20">_xlfn.IFS(COUNTIF(Table14623[[#This Row],[Phrases H]],"*H351*"), 10, TRUE, "")</f>
        <v/>
      </c>
      <c r="AK20" s="93" t="str" cm="1">
        <f t="array" ref="AK20">_xlfn.IFS(COUNTIF(Table14623[[#This Row],[Phrases H]],"*H361*"), 10, TRUE, "")</f>
        <v/>
      </c>
      <c r="AL20" s="93" t="str" cm="1">
        <f t="array" ref="AL20">_xlfn.IFS(COUNTIF(Table14623[[#This Row],[Phrases H]],"*H362*"), 10, TRUE, "")</f>
        <v/>
      </c>
      <c r="AM20" s="93" t="str" cm="1">
        <f t="array" ref="AM20">_xlfn.IFS(COUNTIF(Table14623[[#This Row],[Phrases H]],"*H341*"), 10, TRUE, "")</f>
        <v/>
      </c>
      <c r="AN20" s="93" t="str" cm="1">
        <f t="array" ref="AN20">_xlfn.IFS(COUNTIF(Table14623[[#This Row],[Phrases H]],"*H372*"), 10, TRUE, "")</f>
        <v/>
      </c>
      <c r="AO20" s="93" t="str" cm="1">
        <f t="array" ref="AO20">_xlfn.IFS(COUNTIF(Table14623[[#This Row],[Phrases H]],"*H410*"), 10, TRUE, "")</f>
        <v/>
      </c>
      <c r="AP20" s="93" t="str" cm="1">
        <f t="array" ref="AP20">_xlfn.IFS(COUNTIF(Table14623[[#This Row],[Phrases H]],"*H373*"), 5, TRUE, "")</f>
        <v/>
      </c>
      <c r="AQ20" s="93" cm="1">
        <f t="array" ref="AQ20">_xlfn.IFS(COUNTIF(Table14623[[#This Row],[Phrases H]],"*H411*"), 5, TRUE, "")</f>
        <v>5</v>
      </c>
      <c r="AR20" s="94">
        <f t="shared" si="0"/>
        <v>5</v>
      </c>
      <c r="AS20" s="95"/>
      <c r="AT20" s="96">
        <v>1000</v>
      </c>
      <c r="AU20" s="97" t="s">
        <v>337</v>
      </c>
      <c r="AV20" s="98">
        <f t="shared" si="24"/>
        <v>15</v>
      </c>
      <c r="AW20" s="99" t="str">
        <f t="shared" si="2"/>
        <v>Production modérée</v>
      </c>
      <c r="AX20" s="95"/>
      <c r="AY20" s="100">
        <f t="shared" si="3"/>
        <v>20</v>
      </c>
      <c r="BA20" s="122">
        <v>3100</v>
      </c>
      <c r="BB20" s="101">
        <f t="shared" si="4"/>
        <v>40</v>
      </c>
      <c r="BC20" s="98" t="str">
        <f t="shared" si="5"/>
        <v>Mobile</v>
      </c>
      <c r="BD20" s="97">
        <v>2.1</v>
      </c>
      <c r="BE20" s="98" t="str">
        <f t="shared" si="6"/>
        <v>Mobile</v>
      </c>
      <c r="BF20" s="97">
        <v>252.73099999999999</v>
      </c>
      <c r="BG20" s="97">
        <v>719.94</v>
      </c>
      <c r="BH20" s="97">
        <v>41.61</v>
      </c>
      <c r="BI20" s="98" t="str">
        <f>IF(OR(BF20="N/A",BG20="N/A",BH20="N/A"),"N/A",IF(AND(BF20&gt;200,BG20&gt;67,BH20&gt;0.5),"Volatile","Non volatil"))</f>
        <v>Volatile</v>
      </c>
      <c r="BJ20" s="102" t="s">
        <v>354</v>
      </c>
      <c r="BK20" s="103" t="s">
        <v>342</v>
      </c>
      <c r="BM20" s="104" t="str">
        <f t="shared" si="7"/>
        <v>5, Production modérée (15), Mobile (solubilité), Mobile (log Koc), Volatile, Pas facilement biodégradable,SERVACO</v>
      </c>
      <c r="BT20" s="30">
        <v>5</v>
      </c>
      <c r="BU20" s="31" t="s">
        <v>359</v>
      </c>
      <c r="BV20" s="31" t="s">
        <v>368</v>
      </c>
      <c r="BW20" s="31" t="s">
        <v>372</v>
      </c>
      <c r="BX20" s="31" t="s">
        <v>373</v>
      </c>
      <c r="BY20" s="31" t="s">
        <v>363</v>
      </c>
      <c r="BZ20" s="32" t="s">
        <v>342</v>
      </c>
      <c r="CB20" s="105"/>
      <c r="CC20" s="106">
        <v>0</v>
      </c>
      <c r="CE20" s="107">
        <f t="shared" si="8"/>
        <v>13.666666666666668</v>
      </c>
      <c r="CF20" s="108">
        <f t="shared" si="9"/>
        <v>0.17299578059071732</v>
      </c>
      <c r="CG20" s="109"/>
      <c r="CH20" s="110" t="str">
        <f t="shared" si="10"/>
        <v>Catégorie 1</v>
      </c>
      <c r="CI20" s="111" t="str">
        <f t="shared" si="11"/>
        <v/>
      </c>
      <c r="CJ20" s="112" t="str">
        <f t="shared" si="12"/>
        <v/>
      </c>
      <c r="CK20" s="112" t="str">
        <f t="shared" si="13"/>
        <v/>
      </c>
      <c r="CL20" s="113" t="str">
        <f t="shared" si="14"/>
        <v/>
      </c>
      <c r="CM20" s="113" t="str">
        <f t="shared" si="15"/>
        <v/>
      </c>
      <c r="CN20" s="114" t="str">
        <f t="shared" si="16"/>
        <v/>
      </c>
      <c r="CO20" s="115"/>
      <c r="CR20" s="116">
        <f t="shared" si="25"/>
        <v>1</v>
      </c>
      <c r="CS20" s="117" t="str">
        <f t="shared" si="18"/>
        <v/>
      </c>
      <c r="CT20" s="118">
        <f t="shared" si="19"/>
        <v>2</v>
      </c>
      <c r="CU20" s="119" t="str">
        <f t="shared" si="20"/>
        <v/>
      </c>
      <c r="CW20" s="120" t="str">
        <f t="shared" si="21"/>
        <v>1</v>
      </c>
      <c r="CX20" s="120" t="str">
        <f t="shared" si="22"/>
        <v>2</v>
      </c>
      <c r="DQ20" s="2"/>
    </row>
    <row r="21" spans="1:121" ht="30" customHeight="1" x14ac:dyDescent="0.35">
      <c r="A21" s="4" t="s">
        <v>409</v>
      </c>
      <c r="B21" s="3" t="s">
        <v>162</v>
      </c>
      <c r="C21" s="4" t="s">
        <v>26</v>
      </c>
      <c r="D21" s="4" t="s">
        <v>163</v>
      </c>
      <c r="E21" s="4" t="s">
        <v>164</v>
      </c>
      <c r="F21" s="4" t="s">
        <v>165</v>
      </c>
      <c r="G21" s="4" t="s">
        <v>166</v>
      </c>
      <c r="H21" s="4" t="s">
        <v>27</v>
      </c>
      <c r="I21" s="4"/>
      <c r="J21" s="4" t="s">
        <v>241</v>
      </c>
      <c r="K21" s="4"/>
      <c r="L21" s="4"/>
      <c r="M21" s="4"/>
      <c r="N21" s="4"/>
      <c r="O21" s="4"/>
      <c r="P21" s="8"/>
      <c r="Q21" s="4" t="s">
        <v>30</v>
      </c>
      <c r="R21" s="4" t="s">
        <v>31</v>
      </c>
      <c r="S21" s="4"/>
      <c r="T21" s="4" t="s">
        <v>167</v>
      </c>
      <c r="U21" s="4" t="s">
        <v>52</v>
      </c>
      <c r="V21" s="4" t="s">
        <v>256</v>
      </c>
      <c r="W21" s="4" t="s">
        <v>265</v>
      </c>
      <c r="X21" s="4" t="s">
        <v>273</v>
      </c>
      <c r="Y21" s="4" t="s">
        <v>293</v>
      </c>
      <c r="Z21" s="4" t="s">
        <v>32</v>
      </c>
      <c r="AA21" s="5">
        <f>LOG(51.3)</f>
        <v>1.7101173651118162</v>
      </c>
      <c r="AB21" s="4" t="s">
        <v>308</v>
      </c>
      <c r="AC21" s="4" t="s">
        <v>168</v>
      </c>
      <c r="AD21" s="17"/>
      <c r="AE21" s="92" cm="1">
        <f t="array" ref="AE21">_xlfn.IFS(COUNTIF(Table14623[[#This Row],[PBT/ vPvB]],"*X*"), 20, TRUE, "")</f>
        <v>20</v>
      </c>
      <c r="AF21" s="93" t="str" cm="1">
        <f t="array" ref="AF21">_xlfn.IFS(COUNTIF(Table14623[[#This Row],[Perturbateur Endocrinien]],"*X*"), 20, TRUE, "")</f>
        <v/>
      </c>
      <c r="AG21" s="93" cm="1">
        <f t="array" ref="AG21">_xlfn.IFS(COUNTIF(Table14623[[#This Row],[Phrases H]],"*H350*"), 20, TRUE, "")</f>
        <v>20</v>
      </c>
      <c r="AH21" s="93" t="str" cm="1">
        <f t="array" ref="AH21">_xlfn.IFS(COUNTIF(Table14623[[#This Row],[Phrases H]],"*H360*"), 20, TRUE, "")</f>
        <v/>
      </c>
      <c r="AI21" s="93" t="str" cm="1">
        <f t="array" ref="AI21">_xlfn.IFS(COUNTIF(Table14623[[#This Row],[Phrases H]],"*H340*"), 20, TRUE, "")</f>
        <v/>
      </c>
      <c r="AJ21" s="93" t="str" cm="1">
        <f t="array" ref="AJ21">_xlfn.IFS(COUNTIF(Table14623[[#This Row],[Phrases H]],"*H351*"), 10, TRUE, "")</f>
        <v/>
      </c>
      <c r="AK21" s="93" t="str" cm="1">
        <f t="array" ref="AK21">_xlfn.IFS(COUNTIF(Table14623[[#This Row],[Phrases H]],"*H361*"), 10, TRUE, "")</f>
        <v/>
      </c>
      <c r="AL21" s="93" t="str" cm="1">
        <f t="array" ref="AL21">_xlfn.IFS(COUNTIF(Table14623[[#This Row],[Phrases H]],"*H362*"), 10, TRUE, "")</f>
        <v/>
      </c>
      <c r="AM21" s="93" t="str" cm="1">
        <f t="array" ref="AM21">_xlfn.IFS(COUNTIF(Table14623[[#This Row],[Phrases H]],"*H341*"), 10, TRUE, "")</f>
        <v/>
      </c>
      <c r="AN21" s="93" t="str" cm="1">
        <f t="array" ref="AN21">_xlfn.IFS(COUNTIF(Table14623[[#This Row],[Phrases H]],"*H372*"), 10, TRUE, "")</f>
        <v/>
      </c>
      <c r="AO21" s="93" t="str" cm="1">
        <f t="array" ref="AO21">_xlfn.IFS(COUNTIF(Table14623[[#This Row],[Phrases H]],"*H410*"), 10, TRUE, "")</f>
        <v/>
      </c>
      <c r="AP21" s="93" t="str" cm="1">
        <f t="array" ref="AP21">_xlfn.IFS(COUNTIF(Table14623[[#This Row],[Phrases H]],"*H373*"), 5, TRUE, "")</f>
        <v/>
      </c>
      <c r="AQ21" s="93" cm="1">
        <f t="array" ref="AQ21">_xlfn.IFS(COUNTIF(Table14623[[#This Row],[Phrases H]],"*H411*"), 5, TRUE, "")</f>
        <v>5</v>
      </c>
      <c r="AR21" s="94">
        <f t="shared" si="0"/>
        <v>45</v>
      </c>
      <c r="AS21" s="95"/>
      <c r="AT21" s="96">
        <v>10000</v>
      </c>
      <c r="AU21" s="97" t="s">
        <v>337</v>
      </c>
      <c r="AV21" s="98">
        <f t="shared" si="24"/>
        <v>20</v>
      </c>
      <c r="AW21" s="99" t="str">
        <f t="shared" si="2"/>
        <v>Production élevée</v>
      </c>
      <c r="AX21" s="95"/>
      <c r="AY21" s="100">
        <f t="shared" si="3"/>
        <v>65</v>
      </c>
      <c r="BA21" s="96">
        <v>3931.3</v>
      </c>
      <c r="BB21" s="101">
        <f t="shared" si="4"/>
        <v>40</v>
      </c>
      <c r="BC21" s="98" t="str">
        <f t="shared" si="5"/>
        <v>Mobile</v>
      </c>
      <c r="BD21" s="121">
        <f>LOG(51.3)</f>
        <v>1.7101173651118162</v>
      </c>
      <c r="BE21" s="98" t="str">
        <f t="shared" si="6"/>
        <v>Très mobile</v>
      </c>
      <c r="BF21" s="97">
        <v>187.86</v>
      </c>
      <c r="BG21" s="97">
        <v>1492.0064</v>
      </c>
      <c r="BH21" s="97">
        <v>65.682500000000005</v>
      </c>
      <c r="BI21" s="98" t="str">
        <f t="shared" ref="BI21:BI27" si="26">IF(OR(BF21="N/A",BG21="N/A",BH21="N/A"),"N/A",IF(AND(BF21&gt;200,BG21&gt;67,BH21&gt;0.5),"Volatile","Non volatil"))</f>
        <v>Non volatil</v>
      </c>
      <c r="BJ21" s="102" t="s">
        <v>31</v>
      </c>
      <c r="BK21" s="103" t="s">
        <v>378</v>
      </c>
      <c r="BM21" s="104" t="str">
        <f t="shared" si="7"/>
        <v>45, Production élevée (20), Mobile (solubilité), Très mobile (log Koc), Non volatil, N/A,EUROFINS,  SERVACO</v>
      </c>
      <c r="BT21" s="30">
        <v>45</v>
      </c>
      <c r="BU21" s="31" t="s">
        <v>385</v>
      </c>
      <c r="BV21" s="31" t="s">
        <v>368</v>
      </c>
      <c r="BW21" s="31" t="s">
        <v>369</v>
      </c>
      <c r="BX21" s="31" t="s">
        <v>362</v>
      </c>
      <c r="BY21" s="31" t="s">
        <v>366</v>
      </c>
      <c r="BZ21" s="32" t="s">
        <v>378</v>
      </c>
      <c r="CB21" s="105" t="s">
        <v>395</v>
      </c>
      <c r="CC21" s="106">
        <v>1</v>
      </c>
      <c r="CE21" s="107">
        <f t="shared" si="8"/>
        <v>59</v>
      </c>
      <c r="CF21" s="108">
        <f t="shared" si="9"/>
        <v>0.74683544303797467</v>
      </c>
      <c r="CG21" s="109"/>
      <c r="CH21" s="110" t="str">
        <f t="shared" si="10"/>
        <v>Catégorie 4</v>
      </c>
      <c r="CI21" s="111" t="str">
        <f t="shared" si="11"/>
        <v/>
      </c>
      <c r="CJ21" s="112" t="str">
        <f t="shared" si="12"/>
        <v/>
      </c>
      <c r="CK21" s="112" t="str">
        <f t="shared" si="13"/>
        <v/>
      </c>
      <c r="CL21" s="113" t="str">
        <f t="shared" si="14"/>
        <v>Top 25%</v>
      </c>
      <c r="CM21" s="113" t="str">
        <f t="shared" si="15"/>
        <v>Top 50%</v>
      </c>
      <c r="CN21" s="114" t="str">
        <f t="shared" si="16"/>
        <v>Top 75%</v>
      </c>
      <c r="CO21" s="115"/>
      <c r="CR21" s="116">
        <f t="shared" si="25"/>
        <v>3</v>
      </c>
      <c r="CS21" s="117" t="str">
        <f t="shared" si="18"/>
        <v/>
      </c>
      <c r="CT21" s="118">
        <f t="shared" si="19"/>
        <v>4</v>
      </c>
      <c r="CU21" s="119" t="str">
        <f t="shared" si="20"/>
        <v/>
      </c>
      <c r="CW21" s="120" t="str">
        <f t="shared" si="21"/>
        <v>3</v>
      </c>
      <c r="CX21" s="120" t="str">
        <f t="shared" si="22"/>
        <v>4</v>
      </c>
      <c r="DQ21" s="2"/>
    </row>
    <row r="22" spans="1:121" ht="30" customHeight="1" x14ac:dyDescent="0.35">
      <c r="A22" s="4" t="s">
        <v>409</v>
      </c>
      <c r="B22" s="3" t="s">
        <v>227</v>
      </c>
      <c r="C22" s="4" t="s">
        <v>226</v>
      </c>
      <c r="D22" s="4" t="s">
        <v>172</v>
      </c>
      <c r="E22" s="4" t="s">
        <v>173</v>
      </c>
      <c r="F22" s="4" t="s">
        <v>174</v>
      </c>
      <c r="G22" s="4" t="s">
        <v>175</v>
      </c>
      <c r="H22" s="4" t="s">
        <v>161</v>
      </c>
      <c r="I22" s="4" t="s">
        <v>176</v>
      </c>
      <c r="J22" s="4" t="s">
        <v>241</v>
      </c>
      <c r="K22" s="4"/>
      <c r="L22" s="4"/>
      <c r="M22" s="4"/>
      <c r="N22" s="4"/>
      <c r="O22" s="4" t="s">
        <v>30</v>
      </c>
      <c r="P22" s="8"/>
      <c r="Q22" s="4"/>
      <c r="R22" s="4" t="s">
        <v>1273</v>
      </c>
      <c r="S22" s="4"/>
      <c r="T22" s="4" t="s">
        <v>177</v>
      </c>
      <c r="U22" s="4" t="s">
        <v>52</v>
      </c>
      <c r="V22" s="7" t="s">
        <v>178</v>
      </c>
      <c r="W22" s="7" t="s">
        <v>179</v>
      </c>
      <c r="X22" s="4" t="s">
        <v>278</v>
      </c>
      <c r="Y22" s="4" t="s">
        <v>294</v>
      </c>
      <c r="Z22" s="4" t="s">
        <v>32</v>
      </c>
      <c r="AA22" s="4">
        <v>0.78</v>
      </c>
      <c r="AB22" s="4" t="s">
        <v>309</v>
      </c>
      <c r="AC22" s="4" t="s">
        <v>180</v>
      </c>
      <c r="AD22" s="17"/>
      <c r="AE22" s="92" t="str" cm="1">
        <f t="array" ref="AE22">_xlfn.IFS(COUNTIF(Table14623[[#This Row],[PBT/ vPvB]],"*X*"), 20, TRUE, "")</f>
        <v/>
      </c>
      <c r="AF22" s="93" t="str" cm="1">
        <f t="array" ref="AF22">_xlfn.IFS(COUNTIF(Table14623[[#This Row],[Perturbateur Endocrinien]],"*X*"), 20, TRUE, "")</f>
        <v/>
      </c>
      <c r="AG22" s="93" t="str" cm="1">
        <f t="array" ref="AG22">_xlfn.IFS(COUNTIF(Table14623[[#This Row],[Phrases H]],"*H350*"), 20, TRUE, "")</f>
        <v/>
      </c>
      <c r="AH22" s="93" t="str" cm="1">
        <f t="array" ref="AH22">_xlfn.IFS(COUNTIF(Table14623[[#This Row],[Phrases H]],"*H360*"), 20, TRUE, "")</f>
        <v/>
      </c>
      <c r="AI22" s="93" t="str" cm="1">
        <f t="array" ref="AI22">_xlfn.IFS(COUNTIF(Table14623[[#This Row],[Phrases H]],"*H340*"), 20, TRUE, "")</f>
        <v/>
      </c>
      <c r="AJ22" s="93" cm="1">
        <f t="array" ref="AJ22">_xlfn.IFS(COUNTIF(Table14623[[#This Row],[Phrases H]],"*H351*"), 10, TRUE, "")</f>
        <v>10</v>
      </c>
      <c r="AK22" s="93" cm="1">
        <f t="array" ref="AK22">_xlfn.IFS(COUNTIF(Table14623[[#This Row],[Phrases H]],"*H361*"), 10, TRUE, "")</f>
        <v>10</v>
      </c>
      <c r="AL22" s="93" t="str" cm="1">
        <f t="array" ref="AL22">_xlfn.IFS(COUNTIF(Table14623[[#This Row],[Phrases H]],"*H362*"), 10, TRUE, "")</f>
        <v/>
      </c>
      <c r="AM22" s="93" t="str" cm="1">
        <f t="array" ref="AM22">_xlfn.IFS(COUNTIF(Table14623[[#This Row],[Phrases H]],"*H341*"), 10, TRUE, "")</f>
        <v/>
      </c>
      <c r="AN22" s="93" t="str" cm="1">
        <f t="array" ref="AN22">_xlfn.IFS(COUNTIF(Table14623[[#This Row],[Phrases H]],"*H372*"), 10, TRUE, "")</f>
        <v/>
      </c>
      <c r="AO22" s="93" t="str" cm="1">
        <f t="array" ref="AO22">_xlfn.IFS(COUNTIF(Table14623[[#This Row],[Phrases H]],"*H410*"), 10, TRUE, "")</f>
        <v/>
      </c>
      <c r="AP22" s="93" t="str" cm="1">
        <f t="array" ref="AP22">_xlfn.IFS(COUNTIF(Table14623[[#This Row],[Phrases H]],"*H373*"), 5, TRUE, "")</f>
        <v/>
      </c>
      <c r="AQ22" s="93" cm="1">
        <f t="array" ref="AQ22">_xlfn.IFS(COUNTIF(Table14623[[#This Row],[Phrases H]],"*H411*"), 5, TRUE, "")</f>
        <v>5</v>
      </c>
      <c r="AR22" s="94">
        <f t="shared" si="0"/>
        <v>25</v>
      </c>
      <c r="AS22" s="95"/>
      <c r="AT22" s="96">
        <v>10000</v>
      </c>
      <c r="AU22" s="97" t="s">
        <v>337</v>
      </c>
      <c r="AV22" s="98">
        <f t="shared" si="24"/>
        <v>20</v>
      </c>
      <c r="AW22" s="99" t="str">
        <f t="shared" si="2"/>
        <v>Production élevée</v>
      </c>
      <c r="AX22" s="95"/>
      <c r="AY22" s="100">
        <f t="shared" si="3"/>
        <v>45</v>
      </c>
      <c r="BA22" s="122">
        <v>142000</v>
      </c>
      <c r="BB22" s="101">
        <f t="shared" si="4"/>
        <v>50</v>
      </c>
      <c r="BC22" s="98" t="str">
        <f t="shared" si="5"/>
        <v>Très mobile</v>
      </c>
      <c r="BD22" s="97">
        <v>0.78</v>
      </c>
      <c r="BE22" s="98" t="str">
        <f t="shared" si="6"/>
        <v>Très mobile</v>
      </c>
      <c r="BF22" s="97">
        <v>76.099999999999994</v>
      </c>
      <c r="BG22" s="97">
        <v>1.88E-5</v>
      </c>
      <c r="BH22" s="97">
        <v>1.0999999999999999E-8</v>
      </c>
      <c r="BI22" s="98" t="str">
        <f t="shared" si="26"/>
        <v>Non volatil</v>
      </c>
      <c r="BJ22" s="102" t="s">
        <v>356</v>
      </c>
      <c r="BK22" s="103" t="s">
        <v>31</v>
      </c>
      <c r="BM22" s="104" t="str">
        <f t="shared" si="7"/>
        <v>25, Production élevée (20), Très mobile (solubilité), Très mobile (log Koc), Non volatil, Biodégradable par nature,N/A</v>
      </c>
      <c r="BT22" s="30">
        <v>25</v>
      </c>
      <c r="BU22" s="31" t="s">
        <v>385</v>
      </c>
      <c r="BV22" s="31" t="s">
        <v>376</v>
      </c>
      <c r="BW22" s="31" t="s">
        <v>369</v>
      </c>
      <c r="BX22" s="31" t="s">
        <v>362</v>
      </c>
      <c r="BY22" s="31" t="s">
        <v>370</v>
      </c>
      <c r="BZ22" s="32" t="s">
        <v>31</v>
      </c>
      <c r="CB22" s="105"/>
      <c r="CC22" s="106">
        <v>0</v>
      </c>
      <c r="CE22" s="107">
        <f t="shared" si="8"/>
        <v>35.333333333333329</v>
      </c>
      <c r="CF22" s="108">
        <f t="shared" si="9"/>
        <v>0.44725738396624465</v>
      </c>
      <c r="CG22" s="109"/>
      <c r="CH22" s="110" t="str">
        <f t="shared" si="10"/>
        <v>Catégorie 3</v>
      </c>
      <c r="CI22" s="111" t="str">
        <f t="shared" si="11"/>
        <v>c</v>
      </c>
      <c r="CJ22" s="112" t="str">
        <f t="shared" si="12"/>
        <v/>
      </c>
      <c r="CK22" s="112" t="str">
        <f t="shared" si="13"/>
        <v/>
      </c>
      <c r="CL22" s="113" t="str">
        <f t="shared" si="14"/>
        <v/>
      </c>
      <c r="CM22" s="113" t="str">
        <f t="shared" si="15"/>
        <v/>
      </c>
      <c r="CN22" s="114" t="str">
        <f t="shared" si="16"/>
        <v>Top 75%</v>
      </c>
      <c r="CO22" s="115"/>
      <c r="CR22" s="116">
        <f t="shared" si="25"/>
        <v>2</v>
      </c>
      <c r="CS22" s="117" t="str">
        <f t="shared" si="18"/>
        <v>c</v>
      </c>
      <c r="CT22" s="118">
        <f t="shared" si="19"/>
        <v>3</v>
      </c>
      <c r="CU22" s="119" t="str">
        <f t="shared" si="20"/>
        <v>c</v>
      </c>
      <c r="CW22" s="120" t="str">
        <f t="shared" si="21"/>
        <v>2c</v>
      </c>
      <c r="CX22" s="120" t="str">
        <f t="shared" si="22"/>
        <v>3c</v>
      </c>
    </row>
    <row r="23" spans="1:121" ht="30" customHeight="1" x14ac:dyDescent="0.35">
      <c r="A23" s="4" t="s">
        <v>409</v>
      </c>
      <c r="B23" s="3" t="s">
        <v>181</v>
      </c>
      <c r="C23" s="4" t="s">
        <v>182</v>
      </c>
      <c r="D23" s="4" t="s">
        <v>183</v>
      </c>
      <c r="E23" s="4" t="s">
        <v>184</v>
      </c>
      <c r="F23" s="4" t="s">
        <v>185</v>
      </c>
      <c r="G23" s="4" t="s">
        <v>186</v>
      </c>
      <c r="H23" s="4"/>
      <c r="I23" s="4" t="s">
        <v>171</v>
      </c>
      <c r="J23" s="4" t="s">
        <v>241</v>
      </c>
      <c r="K23" s="4"/>
      <c r="L23" s="4"/>
      <c r="M23" s="4"/>
      <c r="N23" s="4" t="s">
        <v>30</v>
      </c>
      <c r="O23" s="4"/>
      <c r="P23" s="8"/>
      <c r="Q23" s="4" t="s">
        <v>30</v>
      </c>
      <c r="R23" s="4" t="s">
        <v>1273</v>
      </c>
      <c r="S23" s="4"/>
      <c r="T23" s="4" t="s">
        <v>187</v>
      </c>
      <c r="U23" s="4" t="s">
        <v>31</v>
      </c>
      <c r="V23" s="4" t="s">
        <v>257</v>
      </c>
      <c r="W23" s="4" t="s">
        <v>262</v>
      </c>
      <c r="X23" s="4" t="s">
        <v>274</v>
      </c>
      <c r="Y23" s="4" t="s">
        <v>295</v>
      </c>
      <c r="Z23" s="4">
        <v>25</v>
      </c>
      <c r="AA23" s="5">
        <f>LOG(9550)</f>
        <v>3.9800033715837464</v>
      </c>
      <c r="AB23" s="4" t="s">
        <v>314</v>
      </c>
      <c r="AC23" s="4" t="s">
        <v>188</v>
      </c>
      <c r="AD23" s="17"/>
      <c r="AE23" s="92" cm="1">
        <f t="array" ref="AE23">_xlfn.IFS(COUNTIF(Table14623[[#This Row],[PBT/ vPvB]],"*X*"), 20, TRUE, "")</f>
        <v>20</v>
      </c>
      <c r="AF23" s="93" t="str" cm="1">
        <f t="array" ref="AF23">_xlfn.IFS(COUNTIF(Table14623[[#This Row],[Perturbateur Endocrinien]],"*X*"), 20, TRUE, "")</f>
        <v/>
      </c>
      <c r="AG23" s="93" t="str" cm="1">
        <f t="array" ref="AG23">_xlfn.IFS(COUNTIF(Table14623[[#This Row],[Phrases H]],"*H350*"), 20, TRUE, "")</f>
        <v/>
      </c>
      <c r="AH23" s="93" cm="1">
        <f t="array" ref="AH23">_xlfn.IFS(COUNTIF(Table14623[[#This Row],[Phrases H]],"*H360*"), 20, TRUE, "")</f>
        <v>20</v>
      </c>
      <c r="AI23" s="93" t="str" cm="1">
        <f t="array" ref="AI23">_xlfn.IFS(COUNTIF(Table14623[[#This Row],[Phrases H]],"*H340*"), 20, TRUE, "")</f>
        <v/>
      </c>
      <c r="AJ23" s="93" t="str" cm="1">
        <f t="array" ref="AJ23">_xlfn.IFS(COUNTIF(Table14623[[#This Row],[Phrases H]],"*H351*"), 10, TRUE, "")</f>
        <v/>
      </c>
      <c r="AK23" s="93" t="str" cm="1">
        <f t="array" ref="AK23">_xlfn.IFS(COUNTIF(Table14623[[#This Row],[Phrases H]],"*H361*"), 10, TRUE, "")</f>
        <v/>
      </c>
      <c r="AL23" s="93" t="str" cm="1">
        <f t="array" ref="AL23">_xlfn.IFS(COUNTIF(Table14623[[#This Row],[Phrases H]],"*H362*"), 10, TRUE, "")</f>
        <v/>
      </c>
      <c r="AM23" s="93" t="str" cm="1">
        <f t="array" ref="AM23">_xlfn.IFS(COUNTIF(Table14623[[#This Row],[Phrases H]],"*H341*"), 10, TRUE, "")</f>
        <v/>
      </c>
      <c r="AN23" s="93" t="str" cm="1">
        <f t="array" ref="AN23">_xlfn.IFS(COUNTIF(Table14623[[#This Row],[Phrases H]],"*H372*"), 10, TRUE, "")</f>
        <v/>
      </c>
      <c r="AO23" s="93" t="str" cm="1">
        <f t="array" ref="AO23">_xlfn.IFS(COUNTIF(Table14623[[#This Row],[Phrases H]],"*H410*"), 10, TRUE, "")</f>
        <v/>
      </c>
      <c r="AP23" s="93" t="str" cm="1">
        <f t="array" ref="AP23">_xlfn.IFS(COUNTIF(Table14623[[#This Row],[Phrases H]],"*H373*"), 5, TRUE, "")</f>
        <v/>
      </c>
      <c r="AQ23" s="93" cm="1">
        <f t="array" ref="AQ23">_xlfn.IFS(COUNTIF(Table14623[[#This Row],[Phrases H]],"*H411*"), 5, TRUE, "")</f>
        <v>5</v>
      </c>
      <c r="AR23" s="94">
        <f t="shared" ref="AR23:AR27" si="27">SUM(AE23:AQ23)</f>
        <v>45</v>
      </c>
      <c r="AS23" s="95"/>
      <c r="AT23" s="96">
        <v>10000</v>
      </c>
      <c r="AU23" s="97" t="s">
        <v>337</v>
      </c>
      <c r="AV23" s="98">
        <f t="shared" si="24"/>
        <v>20</v>
      </c>
      <c r="AW23" s="99" t="str">
        <f t="shared" si="2"/>
        <v>Production élevée</v>
      </c>
      <c r="AX23" s="95"/>
      <c r="AY23" s="100">
        <f t="shared" si="3"/>
        <v>65</v>
      </c>
      <c r="BA23" s="96">
        <v>0.43</v>
      </c>
      <c r="BB23" s="101">
        <f t="shared" ref="BB23:BB37" si="28">IF(BA23="N/A","N/A",IF(BA23&gt;=100000,50,(IF(BA23&gt;=1000,40,(IF(BA23&gt;=10,30,(IF(BA23&gt;0.1,20,(IF(BA23&lt;0.1,10,0))))))))))</f>
        <v>20</v>
      </c>
      <c r="BC23" s="98" t="str">
        <f t="shared" ref="BC23:BC37" si="29">IF(BB23="N/A","N/A",IF(BB23=50,"Très mobile",IF(BB23=40,"Mobile",IF(BB23=30,"Moyennement mobile",IF(BB23=20,"Peu mobile",IF(BB23=10,"Très peu mobile",""))))))</f>
        <v>Peu mobile</v>
      </c>
      <c r="BD23" s="121">
        <f>LOG(9550)</f>
        <v>3.9800033715837464</v>
      </c>
      <c r="BE23" s="98" t="str">
        <f t="shared" si="6"/>
        <v>Non mobile</v>
      </c>
      <c r="BF23" s="97">
        <v>270.5</v>
      </c>
      <c r="BG23" s="97">
        <v>1E-3</v>
      </c>
      <c r="BH23" s="97">
        <v>3.1985399999999999</v>
      </c>
      <c r="BI23" s="98" t="str">
        <f t="shared" si="26"/>
        <v>Non volatil</v>
      </c>
      <c r="BJ23" s="102" t="s">
        <v>356</v>
      </c>
      <c r="BK23" s="103" t="s">
        <v>31</v>
      </c>
      <c r="BM23" s="104" t="str">
        <f t="shared" si="7"/>
        <v>45, Production élevée (20), Peu mobile (solubilité), Non mobile (log Koc), Non volatil, Biodégradable par nature,N/A</v>
      </c>
      <c r="BT23" s="30">
        <v>45</v>
      </c>
      <c r="BU23" s="31" t="s">
        <v>385</v>
      </c>
      <c r="BV23" s="31" t="s">
        <v>371</v>
      </c>
      <c r="BW23" s="31" t="s">
        <v>361</v>
      </c>
      <c r="BX23" s="31" t="s">
        <v>362</v>
      </c>
      <c r="BY23" s="31" t="s">
        <v>370</v>
      </c>
      <c r="BZ23" s="32" t="s">
        <v>31</v>
      </c>
      <c r="CB23" s="105"/>
      <c r="CC23" s="106">
        <v>0</v>
      </c>
      <c r="CE23" s="107">
        <f t="shared" si="8"/>
        <v>54</v>
      </c>
      <c r="CF23" s="108">
        <f t="shared" si="9"/>
        <v>0.68354430379746833</v>
      </c>
      <c r="CG23" s="109"/>
      <c r="CH23" s="110" t="str">
        <f t="shared" ref="CH23:CH27" si="30">IF(CF23&lt;=0.2,"Catégorie 1",IF(CF23&lt;=0.4,"Catégorie 2",IF(CF23&lt;=0.6,"Catégorie 3",IF(CF23&lt;=0.8,"Catégorie 4","Catégorie 5"))))</f>
        <v>Catégorie 4</v>
      </c>
      <c r="CI23" s="111" t="str">
        <f t="shared" ref="CI23:CI27" si="31">IF(BZ23="N/A","c","")</f>
        <v>c</v>
      </c>
      <c r="CJ23" s="112" t="str">
        <f t="shared" si="12"/>
        <v/>
      </c>
      <c r="CK23" s="112" t="str">
        <f t="shared" si="13"/>
        <v/>
      </c>
      <c r="CL23" s="113" t="str">
        <f t="shared" si="14"/>
        <v>Top 25%</v>
      </c>
      <c r="CM23" s="113" t="str">
        <f t="shared" si="15"/>
        <v>Top 50%</v>
      </c>
      <c r="CN23" s="114" t="str">
        <f t="shared" si="16"/>
        <v>Top 75%</v>
      </c>
      <c r="CO23" s="115"/>
      <c r="CR23" s="116">
        <f t="shared" ref="CR23:CR27" si="32">IF(AND(BT23&gt;=0,BT23&lt;=15),1,IF(AND(BT23&gt;=16,BT23&lt;=30),2,IF(AND(BT23&gt;=31,BT23&lt;=45),3,IF(AND(BT23&gt;=46,BT23&lt;=60),4,IF(AND(BT23&gt;=61,BT23&lt;=75),5,"")))))</f>
        <v>3</v>
      </c>
      <c r="CS23" s="117" t="str">
        <f t="shared" ref="CS23:CS28" si="33">IF(BZ23="N/A","c","")</f>
        <v>c</v>
      </c>
      <c r="CT23" s="118">
        <f t="shared" si="19"/>
        <v>4</v>
      </c>
      <c r="CU23" s="119" t="str">
        <f t="shared" ref="CU23:CU28" si="34">IF(BZ23="N/A","c","")</f>
        <v>c</v>
      </c>
      <c r="CW23" s="120" t="str">
        <f t="shared" si="21"/>
        <v>3c</v>
      </c>
      <c r="CX23" s="120" t="str">
        <f t="shared" ref="CX23:CX27" si="35">_xlfn.CONCAT(CT23,CU23)</f>
        <v>4c</v>
      </c>
      <c r="DQ23" s="2"/>
    </row>
    <row r="24" spans="1:121" ht="30" customHeight="1" x14ac:dyDescent="0.35">
      <c r="A24" s="4" t="s">
        <v>409</v>
      </c>
      <c r="B24" s="3" t="s">
        <v>189</v>
      </c>
      <c r="C24" s="4" t="s">
        <v>190</v>
      </c>
      <c r="D24" s="4" t="s">
        <v>191</v>
      </c>
      <c r="E24" s="4" t="s">
        <v>192</v>
      </c>
      <c r="F24" s="4" t="s">
        <v>193</v>
      </c>
      <c r="G24" s="4" t="s">
        <v>194</v>
      </c>
      <c r="H24" s="4" t="s">
        <v>161</v>
      </c>
      <c r="I24" s="4" t="s">
        <v>195</v>
      </c>
      <c r="J24" s="4" t="s">
        <v>247</v>
      </c>
      <c r="K24" s="4"/>
      <c r="L24" s="4"/>
      <c r="M24" s="4"/>
      <c r="N24" s="4" t="s">
        <v>30</v>
      </c>
      <c r="O24" s="4"/>
      <c r="P24" s="8"/>
      <c r="Q24" s="4" t="s">
        <v>30</v>
      </c>
      <c r="R24" s="4" t="s">
        <v>1276</v>
      </c>
      <c r="S24" s="4" t="s">
        <v>30</v>
      </c>
      <c r="T24" s="4" t="s">
        <v>196</v>
      </c>
      <c r="U24" s="4" t="s">
        <v>52</v>
      </c>
      <c r="V24" s="4" t="s">
        <v>197</v>
      </c>
      <c r="W24" s="4" t="s">
        <v>93</v>
      </c>
      <c r="X24" s="4" t="s">
        <v>279</v>
      </c>
      <c r="Y24" s="4" t="s">
        <v>296</v>
      </c>
      <c r="Z24" s="4">
        <v>20</v>
      </c>
      <c r="AA24" s="5">
        <f>LOG(13.49)</f>
        <v>1.1300119496719043</v>
      </c>
      <c r="AB24" s="4" t="s">
        <v>310</v>
      </c>
      <c r="AC24" s="4" t="s">
        <v>198</v>
      </c>
      <c r="AD24" s="17"/>
      <c r="AE24" s="92" cm="1">
        <f t="array" ref="AE24">_xlfn.IFS(COUNTIF(Table14623[[#This Row],[PBT/ vPvB]],"*X*"), 20, TRUE, "")</f>
        <v>20</v>
      </c>
      <c r="AF24" s="93" cm="1">
        <f t="array" ref="AF24">_xlfn.IFS(COUNTIF(Table14623[[#This Row],[Perturbateur Endocrinien]],"*X*"), 20, TRUE, "")</f>
        <v>20</v>
      </c>
      <c r="AG24" s="93" t="str" cm="1">
        <f t="array" ref="AG24">_xlfn.IFS(COUNTIF(Table14623[[#This Row],[Phrases H]],"*H350*"), 20, TRUE, "")</f>
        <v/>
      </c>
      <c r="AH24" s="93" t="str" cm="1">
        <f t="array" ref="AH24">_xlfn.IFS(COUNTIF(Table14623[[#This Row],[Phrases H]],"*H360*"), 20, TRUE, "")</f>
        <v/>
      </c>
      <c r="AI24" s="93" t="str" cm="1">
        <f t="array" ref="AI24">_xlfn.IFS(COUNTIF(Table14623[[#This Row],[Phrases H]],"*H340*"), 20, TRUE, "")</f>
        <v/>
      </c>
      <c r="AJ24" s="93" cm="1">
        <f t="array" ref="AJ24">_xlfn.IFS(COUNTIF(Table14623[[#This Row],[Phrases H]],"*H351*"), 10, TRUE, "")</f>
        <v>10</v>
      </c>
      <c r="AK24" s="93" cm="1">
        <f t="array" ref="AK24">_xlfn.IFS(COUNTIF(Table14623[[#This Row],[Phrases H]],"*H361*"), 10, TRUE, "")</f>
        <v>10</v>
      </c>
      <c r="AL24" s="93" t="str" cm="1">
        <f t="array" ref="AL24">_xlfn.IFS(COUNTIF(Table14623[[#This Row],[Phrases H]],"*H362*"), 10, TRUE, "")</f>
        <v/>
      </c>
      <c r="AM24" s="93" t="str" cm="1">
        <f t="array" ref="AM24">_xlfn.IFS(COUNTIF(Table14623[[#This Row],[Phrases H]],"*H341*"), 10, TRUE, "")</f>
        <v/>
      </c>
      <c r="AN24" s="93" t="str" cm="1">
        <f t="array" ref="AN24">_xlfn.IFS(COUNTIF(Table14623[[#This Row],[Phrases H]],"*H372*"), 10, TRUE, "")</f>
        <v/>
      </c>
      <c r="AO24" s="93" t="str" cm="1">
        <f t="array" ref="AO24">_xlfn.IFS(COUNTIF(Table14623[[#This Row],[Phrases H]],"*H410*"), 10, TRUE, "")</f>
        <v/>
      </c>
      <c r="AP24" s="93" cm="1">
        <f t="array" ref="AP24">_xlfn.IFS(COUNTIF(Table14623[[#This Row],[Phrases H]],"*H373*"), 5, TRUE, "")</f>
        <v>5</v>
      </c>
      <c r="AQ24" s="93" t="str" cm="1">
        <f t="array" ref="AQ24">_xlfn.IFS(COUNTIF(Table14623[[#This Row],[Phrases H]],"*H411*"), 5, TRUE, "")</f>
        <v/>
      </c>
      <c r="AR24" s="94">
        <f t="shared" si="27"/>
        <v>65</v>
      </c>
      <c r="AS24" s="95"/>
      <c r="AT24" s="96">
        <v>1000000</v>
      </c>
      <c r="AU24" s="97" t="s">
        <v>337</v>
      </c>
      <c r="AV24" s="98">
        <f t="shared" si="24"/>
        <v>25</v>
      </c>
      <c r="AW24" s="99" t="str">
        <f t="shared" ref="AW24:AW27" si="36">IF(AV24=25,"Production très élevée",IF(AV24=20,"Production élevée",IF(AV24=15,"Production modérée",IF(AV24=10,"Faible production",IF(AV24=5,"Très faible production","N/A")))))</f>
        <v>Production très élevée</v>
      </c>
      <c r="AX24" s="95"/>
      <c r="AY24" s="100">
        <f t="shared" ref="AY24:AY38" si="37">AR24+AV24</f>
        <v>90</v>
      </c>
      <c r="BA24" s="96">
        <v>3480</v>
      </c>
      <c r="BB24" s="101">
        <f t="shared" si="28"/>
        <v>40</v>
      </c>
      <c r="BC24" s="98" t="str">
        <f t="shared" si="29"/>
        <v>Mobile</v>
      </c>
      <c r="BD24" s="121">
        <f>LOG(13.49)</f>
        <v>1.1300119496719043</v>
      </c>
      <c r="BE24" s="98" t="str">
        <f t="shared" ref="BE24:BE38" si="38">IF(BD24="N/A","N/A",IF(BD24&lt;2,"Très mobile",IF(BD24&lt;3,"Mobile","Non mobile")))</f>
        <v>Très mobile</v>
      </c>
      <c r="BF24" s="97">
        <v>126.12</v>
      </c>
      <c r="BG24" s="97">
        <v>0</v>
      </c>
      <c r="BH24" s="97">
        <v>1.8E-9</v>
      </c>
      <c r="BI24" s="98" t="str">
        <f t="shared" si="26"/>
        <v>Non volatil</v>
      </c>
      <c r="BJ24" s="102" t="s">
        <v>354</v>
      </c>
      <c r="BK24" s="103" t="s">
        <v>31</v>
      </c>
      <c r="BM24" s="104" t="str">
        <f t="shared" ref="BM24:BM38" si="39">_xlfn.CONCAT(AR24,", ",AW24," (",AV24,")",", ",BC24," (solubilité), ",BE24," (log Koc), ",,BI24,", ",BJ24,",",BK24)</f>
        <v>65, Production très élevée (25), Mobile (solubilité), Très mobile (log Koc), Non volatil, Pas facilement biodégradable,N/A</v>
      </c>
      <c r="BT24" s="30">
        <v>65</v>
      </c>
      <c r="BU24" s="31" t="s">
        <v>365</v>
      </c>
      <c r="BV24" s="31" t="s">
        <v>368</v>
      </c>
      <c r="BW24" s="31" t="s">
        <v>369</v>
      </c>
      <c r="BX24" s="31" t="s">
        <v>362</v>
      </c>
      <c r="BY24" s="31" t="s">
        <v>363</v>
      </c>
      <c r="BZ24" s="32" t="s">
        <v>31</v>
      </c>
      <c r="CB24" s="105"/>
      <c r="CC24" s="106">
        <v>0</v>
      </c>
      <c r="CE24" s="107">
        <f t="shared" si="8"/>
        <v>75.666666666666671</v>
      </c>
      <c r="CF24" s="108">
        <f t="shared" ref="CF24:CF27" si="40">CE24/79</f>
        <v>0.95780590717299585</v>
      </c>
      <c r="CG24" s="109"/>
      <c r="CH24" s="110" t="str">
        <f t="shared" si="30"/>
        <v>Catégorie 5</v>
      </c>
      <c r="CI24" s="111" t="str">
        <f t="shared" si="31"/>
        <v>c</v>
      </c>
      <c r="CJ24" s="112" t="str">
        <f t="shared" si="12"/>
        <v/>
      </c>
      <c r="CK24" s="112" t="str">
        <f t="shared" si="13"/>
        <v/>
      </c>
      <c r="CL24" s="113" t="str">
        <f t="shared" si="14"/>
        <v>Top 25%</v>
      </c>
      <c r="CM24" s="113" t="str">
        <f t="shared" si="15"/>
        <v>Top 50%</v>
      </c>
      <c r="CN24" s="114" t="str">
        <f t="shared" si="16"/>
        <v>Top 75%</v>
      </c>
      <c r="CO24" s="115"/>
      <c r="CR24" s="116">
        <f t="shared" si="32"/>
        <v>5</v>
      </c>
      <c r="CS24" s="117" t="str">
        <f t="shared" si="33"/>
        <v>c</v>
      </c>
      <c r="CT24" s="118">
        <f t="shared" si="19"/>
        <v>5</v>
      </c>
      <c r="CU24" s="119" t="str">
        <f t="shared" si="34"/>
        <v>c</v>
      </c>
      <c r="CW24" s="120" t="str">
        <f t="shared" ref="CW24:CW27" si="41">_xlfn.CONCAT(CR24,CS24)</f>
        <v>5c</v>
      </c>
      <c r="CX24" s="120" t="str">
        <f t="shared" si="35"/>
        <v>5c</v>
      </c>
    </row>
    <row r="25" spans="1:121" ht="30" customHeight="1" x14ac:dyDescent="0.35">
      <c r="A25" s="4" t="s">
        <v>409</v>
      </c>
      <c r="B25" s="3" t="s">
        <v>200</v>
      </c>
      <c r="C25" s="4" t="s">
        <v>201</v>
      </c>
      <c r="D25" s="4" t="s">
        <v>202</v>
      </c>
      <c r="E25" s="4" t="s">
        <v>203</v>
      </c>
      <c r="F25" s="4" t="s">
        <v>204</v>
      </c>
      <c r="G25" s="4" t="s">
        <v>205</v>
      </c>
      <c r="H25" s="4" t="s">
        <v>90</v>
      </c>
      <c r="I25" s="4" t="s">
        <v>206</v>
      </c>
      <c r="J25" s="4" t="s">
        <v>246</v>
      </c>
      <c r="K25" s="4"/>
      <c r="L25" s="4"/>
      <c r="M25" s="4"/>
      <c r="N25" s="4"/>
      <c r="O25" s="4"/>
      <c r="P25" s="8"/>
      <c r="Q25" s="4"/>
      <c r="R25" s="4" t="s">
        <v>1276</v>
      </c>
      <c r="S25" s="4"/>
      <c r="T25" s="4" t="s">
        <v>207</v>
      </c>
      <c r="U25" s="4" t="s">
        <v>52</v>
      </c>
      <c r="V25" s="4" t="s">
        <v>208</v>
      </c>
      <c r="W25" s="4" t="s">
        <v>266</v>
      </c>
      <c r="X25" s="4" t="s">
        <v>275</v>
      </c>
      <c r="Y25" s="4" t="s">
        <v>297</v>
      </c>
      <c r="Z25" s="4" t="s">
        <v>32</v>
      </c>
      <c r="AA25" s="5">
        <f>LOG(5.14)</f>
        <v>0.71096311899527576</v>
      </c>
      <c r="AB25" s="4" t="s">
        <v>311</v>
      </c>
      <c r="AC25" s="4" t="s">
        <v>318</v>
      </c>
      <c r="AD25" s="17"/>
      <c r="AE25" s="92" t="str" cm="1">
        <f t="array" ref="AE25">_xlfn.IFS(COUNTIF(Table14623[[#This Row],[PBT/ vPvB]],"*X*"), 20, TRUE, "")</f>
        <v/>
      </c>
      <c r="AF25" s="93" t="str" cm="1">
        <f t="array" ref="AF25">_xlfn.IFS(COUNTIF(Table14623[[#This Row],[Perturbateur Endocrinien]],"*X*"), 20, TRUE, "")</f>
        <v/>
      </c>
      <c r="AG25" s="93" t="str" cm="1">
        <f t="array" ref="AG25">_xlfn.IFS(COUNTIF(Table14623[[#This Row],[Phrases H]],"*H350*"), 20, TRUE, "")</f>
        <v/>
      </c>
      <c r="AH25" s="93" t="str" cm="1">
        <f t="array" ref="AH25">_xlfn.IFS(COUNTIF(Table14623[[#This Row],[Phrases H]],"*H360*"), 20, TRUE, "")</f>
        <v/>
      </c>
      <c r="AI25" s="93" cm="1">
        <f t="array" ref="AI25">_xlfn.IFS(COUNTIF(Table14623[[#This Row],[Phrases H]],"*H340*"), 20, TRUE, "")</f>
        <v>20</v>
      </c>
      <c r="AJ25" s="93" t="str" cm="1">
        <f t="array" ref="AJ25">_xlfn.IFS(COUNTIF(Table14623[[#This Row],[Phrases H]],"*H351*"), 10, TRUE, "")</f>
        <v/>
      </c>
      <c r="AK25" s="93" cm="1">
        <f t="array" ref="AK25">_xlfn.IFS(COUNTIF(Table14623[[#This Row],[Phrases H]],"*H361*"), 10, TRUE, "")</f>
        <v>10</v>
      </c>
      <c r="AL25" s="93" t="str" cm="1">
        <f t="array" ref="AL25">_xlfn.IFS(COUNTIF(Table14623[[#This Row],[Phrases H]],"*H362*"), 10, TRUE, "")</f>
        <v/>
      </c>
      <c r="AM25" s="93" t="str" cm="1">
        <f t="array" ref="AM25">_xlfn.IFS(COUNTIF(Table14623[[#This Row],[Phrases H]],"*H341*"), 10, TRUE, "")</f>
        <v/>
      </c>
      <c r="AN25" s="93" t="str" cm="1">
        <f t="array" ref="AN25">_xlfn.IFS(COUNTIF(Table14623[[#This Row],[Phrases H]],"*H372*"), 10, TRUE, "")</f>
        <v/>
      </c>
      <c r="AO25" s="93" t="str" cm="1">
        <f t="array" ref="AO25">_xlfn.IFS(COUNTIF(Table14623[[#This Row],[Phrases H]],"*H410*"), 10, TRUE, "")</f>
        <v/>
      </c>
      <c r="AP25" s="93" t="str" cm="1">
        <f t="array" ref="AP25">_xlfn.IFS(COUNTIF(Table14623[[#This Row],[Phrases H]],"*H373*"), 5, TRUE, "")</f>
        <v/>
      </c>
      <c r="AQ25" s="93" t="str" cm="1">
        <f t="array" ref="AQ25">_xlfn.IFS(COUNTIF(Table14623[[#This Row],[Phrases H]],"*H411*"), 5, TRUE, "")</f>
        <v/>
      </c>
      <c r="AR25" s="94">
        <f t="shared" si="27"/>
        <v>30</v>
      </c>
      <c r="AS25" s="95"/>
      <c r="AT25" s="96" t="s">
        <v>345</v>
      </c>
      <c r="AU25" s="97" t="s">
        <v>337</v>
      </c>
      <c r="AV25" s="98">
        <f t="shared" ref="AV25:AV27" si="42">IF(AT25="N/A",0,IF(AT25&lt;=10,5,IF(AT25&lt;=100,10,IF(AT25&lt;=1000,15,IF(AT25&lt;=10000,20,25)))))</f>
        <v>25</v>
      </c>
      <c r="AW25" s="99" t="str">
        <f t="shared" si="36"/>
        <v>Production très élevée</v>
      </c>
      <c r="AX25" s="95"/>
      <c r="AY25" s="100">
        <f t="shared" si="37"/>
        <v>55</v>
      </c>
      <c r="BA25" s="96">
        <v>100000</v>
      </c>
      <c r="BB25" s="101">
        <f t="shared" si="28"/>
        <v>50</v>
      </c>
      <c r="BC25" s="98" t="str">
        <f t="shared" si="29"/>
        <v>Très mobile</v>
      </c>
      <c r="BD25" s="121">
        <f>LOG(5.14)</f>
        <v>0.71096311899527576</v>
      </c>
      <c r="BE25" s="98" t="str">
        <f t="shared" si="38"/>
        <v>Très mobile</v>
      </c>
      <c r="BF25" s="97">
        <v>124.08</v>
      </c>
      <c r="BG25" s="97" t="s">
        <v>323</v>
      </c>
      <c r="BH25" s="97">
        <v>1.0844174999999999E-2</v>
      </c>
      <c r="BI25" s="98" t="str">
        <f t="shared" si="26"/>
        <v>Non volatil</v>
      </c>
      <c r="BJ25" s="102" t="s">
        <v>354</v>
      </c>
      <c r="BK25" s="103" t="s">
        <v>31</v>
      </c>
      <c r="BM25" s="104" t="str">
        <f t="shared" si="39"/>
        <v>30, Production très élevée (25), Très mobile (solubilité), Très mobile (log Koc), Non volatil, Pas facilement biodégradable,N/A</v>
      </c>
      <c r="BT25" s="30">
        <v>30</v>
      </c>
      <c r="BU25" s="31" t="s">
        <v>365</v>
      </c>
      <c r="BV25" s="31" t="s">
        <v>376</v>
      </c>
      <c r="BW25" s="31" t="s">
        <v>369</v>
      </c>
      <c r="BX25" s="31" t="s">
        <v>362</v>
      </c>
      <c r="BY25" s="31" t="s">
        <v>363</v>
      </c>
      <c r="BZ25" s="32" t="s">
        <v>31</v>
      </c>
      <c r="CB25" s="105"/>
      <c r="CC25" s="106">
        <v>0</v>
      </c>
      <c r="CE25" s="107">
        <f t="shared" si="8"/>
        <v>43</v>
      </c>
      <c r="CF25" s="108">
        <f t="shared" si="40"/>
        <v>0.54430379746835444</v>
      </c>
      <c r="CG25" s="109"/>
      <c r="CH25" s="110" t="str">
        <f t="shared" si="30"/>
        <v>Catégorie 3</v>
      </c>
      <c r="CI25" s="111" t="str">
        <f t="shared" si="31"/>
        <v>c</v>
      </c>
      <c r="CJ25" s="112" t="str">
        <f t="shared" si="12"/>
        <v/>
      </c>
      <c r="CK25" s="112" t="str">
        <f t="shared" si="13"/>
        <v/>
      </c>
      <c r="CL25" s="113" t="str">
        <f t="shared" si="14"/>
        <v/>
      </c>
      <c r="CM25" s="113" t="str">
        <f t="shared" si="15"/>
        <v>Top 50%</v>
      </c>
      <c r="CN25" s="114" t="str">
        <f t="shared" si="16"/>
        <v>Top 75%</v>
      </c>
      <c r="CO25" s="115"/>
      <c r="CR25" s="116">
        <f t="shared" si="32"/>
        <v>2</v>
      </c>
      <c r="CS25" s="117" t="str">
        <f t="shared" si="33"/>
        <v>c</v>
      </c>
      <c r="CT25" s="118">
        <f t="shared" si="19"/>
        <v>4</v>
      </c>
      <c r="CU25" s="119" t="str">
        <f t="shared" si="34"/>
        <v>c</v>
      </c>
      <c r="CW25" s="120" t="str">
        <f t="shared" si="41"/>
        <v>2c</v>
      </c>
      <c r="CX25" s="120" t="str">
        <f t="shared" si="35"/>
        <v>4c</v>
      </c>
      <c r="DQ25" s="2"/>
    </row>
    <row r="26" spans="1:121" ht="30" customHeight="1" x14ac:dyDescent="0.35">
      <c r="A26" s="4" t="s">
        <v>409</v>
      </c>
      <c r="B26" s="3" t="s">
        <v>209</v>
      </c>
      <c r="C26" s="4" t="s">
        <v>26</v>
      </c>
      <c r="D26" s="4" t="s">
        <v>210</v>
      </c>
      <c r="E26" s="4" t="s">
        <v>211</v>
      </c>
      <c r="F26" s="4" t="s">
        <v>212</v>
      </c>
      <c r="G26" s="4" t="s">
        <v>213</v>
      </c>
      <c r="H26" s="4" t="s">
        <v>119</v>
      </c>
      <c r="I26" s="4" t="s">
        <v>214</v>
      </c>
      <c r="J26" s="4" t="s">
        <v>241</v>
      </c>
      <c r="K26" s="4"/>
      <c r="L26" s="4"/>
      <c r="M26" s="4"/>
      <c r="N26" s="4"/>
      <c r="O26" s="4" t="s">
        <v>30</v>
      </c>
      <c r="P26" s="8"/>
      <c r="Q26" s="4"/>
      <c r="R26" s="4" t="s">
        <v>31</v>
      </c>
      <c r="S26" s="4"/>
      <c r="T26" s="4" t="s">
        <v>31</v>
      </c>
      <c r="U26" s="4" t="s">
        <v>40</v>
      </c>
      <c r="V26" s="4" t="s">
        <v>258</v>
      </c>
      <c r="W26" s="4" t="s">
        <v>267</v>
      </c>
      <c r="X26" s="4" t="s">
        <v>32</v>
      </c>
      <c r="Y26" s="4" t="s">
        <v>32</v>
      </c>
      <c r="Z26" s="4" t="s">
        <v>32</v>
      </c>
      <c r="AA26" s="4" t="s">
        <v>32</v>
      </c>
      <c r="AB26" s="4" t="s">
        <v>32</v>
      </c>
      <c r="AC26" s="4" t="s">
        <v>215</v>
      </c>
      <c r="AD26" s="17"/>
      <c r="AE26" s="92" t="str" cm="1">
        <f t="array" ref="AE26">_xlfn.IFS(COUNTIF(Table14623[[#This Row],[PBT/ vPvB]],"*X*"), 20, TRUE, "")</f>
        <v/>
      </c>
      <c r="AF26" s="93" t="str" cm="1">
        <f t="array" ref="AF26">_xlfn.IFS(COUNTIF(Table14623[[#This Row],[Perturbateur Endocrinien]],"*X*"), 20, TRUE, "")</f>
        <v/>
      </c>
      <c r="AG26" s="93" t="str" cm="1">
        <f t="array" ref="AG26">_xlfn.IFS(COUNTIF(Table14623[[#This Row],[Phrases H]],"*H350*"), 20, TRUE, "")</f>
        <v/>
      </c>
      <c r="AH26" s="93" t="str" cm="1">
        <f t="array" ref="AH26">_xlfn.IFS(COUNTIF(Table14623[[#This Row],[Phrases H]],"*H360*"), 20, TRUE, "")</f>
        <v/>
      </c>
      <c r="AI26" s="93" t="str" cm="1">
        <f t="array" ref="AI26">_xlfn.IFS(COUNTIF(Table14623[[#This Row],[Phrases H]],"*H340*"), 20, TRUE, "")</f>
        <v/>
      </c>
      <c r="AJ26" s="93" t="str" cm="1">
        <f t="array" ref="AJ26">_xlfn.IFS(COUNTIF(Table14623[[#This Row],[Phrases H]],"*H351*"), 10, TRUE, "")</f>
        <v/>
      </c>
      <c r="AK26" s="93" t="str" cm="1">
        <f t="array" ref="AK26">_xlfn.IFS(COUNTIF(Table14623[[#This Row],[Phrases H]],"*H361*"), 10, TRUE, "")</f>
        <v/>
      </c>
      <c r="AL26" s="93" t="str" cm="1">
        <f t="array" ref="AL26">_xlfn.IFS(COUNTIF(Table14623[[#This Row],[Phrases H]],"*H362*"), 10, TRUE, "")</f>
        <v/>
      </c>
      <c r="AM26" s="93" t="str" cm="1">
        <f t="array" ref="AM26">_xlfn.IFS(COUNTIF(Table14623[[#This Row],[Phrases H]],"*H341*"), 10, TRUE, "")</f>
        <v/>
      </c>
      <c r="AN26" s="93" t="str" cm="1">
        <f t="array" ref="AN26">_xlfn.IFS(COUNTIF(Table14623[[#This Row],[Phrases H]],"*H372*"), 10, TRUE, "")</f>
        <v/>
      </c>
      <c r="AO26" s="93" t="str" cm="1">
        <f t="array" ref="AO26">_xlfn.IFS(COUNTIF(Table14623[[#This Row],[Phrases H]],"*H410*"), 10, TRUE, "")</f>
        <v/>
      </c>
      <c r="AP26" s="93" t="str" cm="1">
        <f t="array" ref="AP26">_xlfn.IFS(COUNTIF(Table14623[[#This Row],[Phrases H]],"*H373*"), 5, TRUE, "")</f>
        <v/>
      </c>
      <c r="AQ26" s="93" t="str" cm="1">
        <f t="array" ref="AQ26">_xlfn.IFS(COUNTIF(Table14623[[#This Row],[Phrases H]],"*H411*"), 5, TRUE, "")</f>
        <v/>
      </c>
      <c r="AR26" s="94">
        <f t="shared" si="27"/>
        <v>0</v>
      </c>
      <c r="AS26" s="95"/>
      <c r="AT26" s="96">
        <v>10000</v>
      </c>
      <c r="AU26" s="97" t="s">
        <v>337</v>
      </c>
      <c r="AV26" s="98">
        <f t="shared" si="42"/>
        <v>20</v>
      </c>
      <c r="AW26" s="99" t="str">
        <f t="shared" si="36"/>
        <v>Production élevée</v>
      </c>
      <c r="AX26" s="95"/>
      <c r="AY26" s="100">
        <f t="shared" si="37"/>
        <v>20</v>
      </c>
      <c r="BA26" s="96">
        <v>3.3</v>
      </c>
      <c r="BB26" s="101">
        <f t="shared" si="28"/>
        <v>20</v>
      </c>
      <c r="BC26" s="98" t="str">
        <f t="shared" si="29"/>
        <v>Peu mobile</v>
      </c>
      <c r="BD26" s="97" t="s">
        <v>31</v>
      </c>
      <c r="BE26" s="98" t="str">
        <f t="shared" si="38"/>
        <v>N/A</v>
      </c>
      <c r="BF26" s="97">
        <v>30.97</v>
      </c>
      <c r="BG26" s="97">
        <v>3644000</v>
      </c>
      <c r="BH26" s="97" t="s">
        <v>31</v>
      </c>
      <c r="BI26" s="98" t="str">
        <f t="shared" si="26"/>
        <v>N/A</v>
      </c>
      <c r="BJ26" s="102" t="s">
        <v>31</v>
      </c>
      <c r="BK26" s="103" t="s">
        <v>341</v>
      </c>
      <c r="BM26" s="104" t="str">
        <f t="shared" si="39"/>
        <v>0, Production élevée (20), Peu mobile (solubilité), N/A (log Koc), N/A, N/A,EUROFINS</v>
      </c>
      <c r="BT26" s="30">
        <v>0</v>
      </c>
      <c r="BU26" s="31" t="s">
        <v>385</v>
      </c>
      <c r="BV26" s="31" t="s">
        <v>371</v>
      </c>
      <c r="BW26" s="31" t="s">
        <v>361</v>
      </c>
      <c r="BX26" s="31" t="s">
        <v>366</v>
      </c>
      <c r="BY26" s="31" t="s">
        <v>366</v>
      </c>
      <c r="BZ26" s="32" t="s">
        <v>341</v>
      </c>
      <c r="CB26" s="105"/>
      <c r="CC26" s="106">
        <v>0</v>
      </c>
      <c r="CE26" s="107">
        <f t="shared" si="8"/>
        <v>12</v>
      </c>
      <c r="CF26" s="108">
        <f t="shared" si="40"/>
        <v>0.15189873417721519</v>
      </c>
      <c r="CG26" s="109"/>
      <c r="CH26" s="110" t="str">
        <f t="shared" si="30"/>
        <v>Catégorie 1</v>
      </c>
      <c r="CI26" s="111" t="str">
        <f t="shared" si="31"/>
        <v/>
      </c>
      <c r="CJ26" s="112" t="str">
        <f t="shared" si="12"/>
        <v/>
      </c>
      <c r="CK26" s="112" t="str">
        <f t="shared" si="13"/>
        <v/>
      </c>
      <c r="CL26" s="113" t="str">
        <f t="shared" si="14"/>
        <v/>
      </c>
      <c r="CM26" s="113" t="str">
        <f t="shared" si="15"/>
        <v/>
      </c>
      <c r="CN26" s="114" t="str">
        <f t="shared" si="16"/>
        <v/>
      </c>
      <c r="CO26" s="115"/>
      <c r="CR26" s="116">
        <f t="shared" si="32"/>
        <v>1</v>
      </c>
      <c r="CS26" s="117" t="str">
        <f t="shared" si="33"/>
        <v/>
      </c>
      <c r="CT26" s="118">
        <f t="shared" si="19"/>
        <v>2</v>
      </c>
      <c r="CU26" s="119" t="str">
        <f t="shared" si="34"/>
        <v/>
      </c>
      <c r="CW26" s="120" t="str">
        <f t="shared" si="41"/>
        <v>1</v>
      </c>
      <c r="CX26" s="120" t="str">
        <f t="shared" si="35"/>
        <v>2</v>
      </c>
    </row>
    <row r="27" spans="1:121" ht="30" customHeight="1" thickBot="1" x14ac:dyDescent="0.4">
      <c r="A27" s="4" t="s">
        <v>409</v>
      </c>
      <c r="B27" s="3" t="s">
        <v>218</v>
      </c>
      <c r="C27" s="4" t="s">
        <v>219</v>
      </c>
      <c r="D27" s="4" t="s">
        <v>220</v>
      </c>
      <c r="E27" s="4" t="s">
        <v>221</v>
      </c>
      <c r="F27" s="4" t="s">
        <v>222</v>
      </c>
      <c r="G27" s="4" t="s">
        <v>223</v>
      </c>
      <c r="H27" s="4" t="s">
        <v>161</v>
      </c>
      <c r="I27" s="4" t="s">
        <v>195</v>
      </c>
      <c r="J27" s="4" t="s">
        <v>241</v>
      </c>
      <c r="K27" s="4"/>
      <c r="L27" s="4"/>
      <c r="M27" s="4"/>
      <c r="N27" s="4"/>
      <c r="O27" s="4"/>
      <c r="P27" s="8"/>
      <c r="Q27" s="4"/>
      <c r="R27" s="4" t="s">
        <v>1276</v>
      </c>
      <c r="S27" s="4"/>
      <c r="T27" s="4" t="s">
        <v>217</v>
      </c>
      <c r="U27" s="4" t="s">
        <v>52</v>
      </c>
      <c r="V27" s="4" t="s">
        <v>224</v>
      </c>
      <c r="W27" s="4" t="s">
        <v>32</v>
      </c>
      <c r="X27" s="4" t="s">
        <v>280</v>
      </c>
      <c r="Y27" s="4" t="s">
        <v>298</v>
      </c>
      <c r="Z27" s="4">
        <v>20</v>
      </c>
      <c r="AA27" s="5">
        <f>LOG(21)</f>
        <v>1.3222192947339193</v>
      </c>
      <c r="AB27" s="4" t="s">
        <v>225</v>
      </c>
      <c r="AC27" s="4" t="s">
        <v>32</v>
      </c>
      <c r="AD27" s="17"/>
      <c r="AE27" s="92" t="str" cm="1">
        <f t="array" ref="AE27">_xlfn.IFS(COUNTIF(Table14623[[#This Row],[PBT/ vPvB]],"*X*"), 20, TRUE, "")</f>
        <v/>
      </c>
      <c r="AF27" s="93" t="str" cm="1">
        <f t="array" ref="AF27">_xlfn.IFS(COUNTIF(Table14623[[#This Row],[Perturbateur Endocrinien]],"*X*"), 20, TRUE, "")</f>
        <v/>
      </c>
      <c r="AG27" s="93" t="str" cm="1">
        <f t="array" ref="AG27">_xlfn.IFS(COUNTIF(Table14623[[#This Row],[Phrases H]],"*H350*"), 20, TRUE, "")</f>
        <v/>
      </c>
      <c r="AH27" s="93" t="str" cm="1">
        <f t="array" ref="AH27">_xlfn.IFS(COUNTIF(Table14623[[#This Row],[Phrases H]],"*H360*"), 20, TRUE, "")</f>
        <v/>
      </c>
      <c r="AI27" s="93" t="str" cm="1">
        <f t="array" ref="AI27">_xlfn.IFS(COUNTIF(Table14623[[#This Row],[Phrases H]],"*H340*"), 20, TRUE, "")</f>
        <v/>
      </c>
      <c r="AJ27" s="93" cm="1">
        <f t="array" ref="AJ27">_xlfn.IFS(COUNTIF(Table14623[[#This Row],[Phrases H]],"*H351*"), 10, TRUE, "")</f>
        <v>10</v>
      </c>
      <c r="AK27" s="93" cm="1">
        <f t="array" ref="AK27">_xlfn.IFS(COUNTIF(Table14623[[#This Row],[Phrases H]],"*H361*"), 10, TRUE, "")</f>
        <v>10</v>
      </c>
      <c r="AL27" s="93" t="str" cm="1">
        <f t="array" ref="AL27">_xlfn.IFS(COUNTIF(Table14623[[#This Row],[Phrases H]],"*H362*"), 10, TRUE, "")</f>
        <v/>
      </c>
      <c r="AM27" s="93" t="str" cm="1">
        <f t="array" ref="AM27">_xlfn.IFS(COUNTIF(Table14623[[#This Row],[Phrases H]],"*H341*"), 10, TRUE, "")</f>
        <v/>
      </c>
      <c r="AN27" s="93" t="str" cm="1">
        <f t="array" ref="AN27">_xlfn.IFS(COUNTIF(Table14623[[#This Row],[Phrases H]],"*H372*"), 10, TRUE, "")</f>
        <v/>
      </c>
      <c r="AO27" s="93" t="str" cm="1">
        <f t="array" ref="AO27">_xlfn.IFS(COUNTIF(Table14623[[#This Row],[Phrases H]],"*H410*"), 10, TRUE, "")</f>
        <v/>
      </c>
      <c r="AP27" s="93" cm="1">
        <f t="array" ref="AP27">_xlfn.IFS(COUNTIF(Table14623[[#This Row],[Phrases H]],"*H373*"), 5, TRUE, "")</f>
        <v>5</v>
      </c>
      <c r="AQ27" s="93" t="str" cm="1">
        <f t="array" ref="AQ27">_xlfn.IFS(COUNTIF(Table14623[[#This Row],[Phrases H]],"*H411*"), 5, TRUE, "")</f>
        <v/>
      </c>
      <c r="AR27" s="94">
        <f t="shared" si="27"/>
        <v>25</v>
      </c>
      <c r="AS27" s="95"/>
      <c r="AT27" s="96">
        <v>10000</v>
      </c>
      <c r="AU27" s="97" t="s">
        <v>337</v>
      </c>
      <c r="AV27" s="98">
        <f t="shared" si="42"/>
        <v>20</v>
      </c>
      <c r="AW27" s="99" t="str">
        <f t="shared" si="36"/>
        <v>Production élevée</v>
      </c>
      <c r="AX27" s="95"/>
      <c r="AY27" s="100">
        <f t="shared" si="37"/>
        <v>45</v>
      </c>
      <c r="BA27" s="96">
        <v>3900</v>
      </c>
      <c r="BB27" s="101">
        <f t="shared" si="28"/>
        <v>40</v>
      </c>
      <c r="BC27" s="98" t="str">
        <f t="shared" si="29"/>
        <v>Mobile</v>
      </c>
      <c r="BD27" s="121">
        <f>LOG(21)</f>
        <v>1.3222192947339193</v>
      </c>
      <c r="BE27" s="98" t="str">
        <f t="shared" si="38"/>
        <v>Très mobile</v>
      </c>
      <c r="BF27" s="97">
        <v>224.12</v>
      </c>
      <c r="BG27" s="97" t="s">
        <v>31</v>
      </c>
      <c r="BH27" s="97">
        <v>1.86E-9</v>
      </c>
      <c r="BI27" s="98" t="str">
        <f t="shared" si="26"/>
        <v>N/A</v>
      </c>
      <c r="BJ27" s="102" t="s">
        <v>354</v>
      </c>
      <c r="BK27" s="103" t="s">
        <v>31</v>
      </c>
      <c r="BM27" s="104" t="str">
        <f t="shared" si="39"/>
        <v>25, Production élevée (20), Mobile (solubilité), Très mobile (log Koc), N/A, Pas facilement biodégradable,N/A</v>
      </c>
      <c r="BT27" s="30">
        <v>25</v>
      </c>
      <c r="BU27" s="31" t="s">
        <v>385</v>
      </c>
      <c r="BV27" s="31" t="s">
        <v>368</v>
      </c>
      <c r="BW27" s="31" t="s">
        <v>369</v>
      </c>
      <c r="BX27" s="31" t="s">
        <v>366</v>
      </c>
      <c r="BY27" s="31" t="s">
        <v>363</v>
      </c>
      <c r="BZ27" s="32" t="s">
        <v>31</v>
      </c>
      <c r="CB27" s="105"/>
      <c r="CC27" s="106">
        <v>0</v>
      </c>
      <c r="CE27" s="107">
        <f t="shared" si="8"/>
        <v>35.333333333333329</v>
      </c>
      <c r="CF27" s="108">
        <f t="shared" si="40"/>
        <v>0.44725738396624465</v>
      </c>
      <c r="CG27" s="109"/>
      <c r="CH27" s="110" t="str">
        <f t="shared" si="30"/>
        <v>Catégorie 3</v>
      </c>
      <c r="CI27" s="111" t="str">
        <f t="shared" si="31"/>
        <v>c</v>
      </c>
      <c r="CJ27" s="112" t="str">
        <f t="shared" si="12"/>
        <v/>
      </c>
      <c r="CK27" s="112" t="str">
        <f t="shared" si="13"/>
        <v/>
      </c>
      <c r="CL27" s="113" t="str">
        <f t="shared" si="14"/>
        <v/>
      </c>
      <c r="CM27" s="113" t="str">
        <f t="shared" si="15"/>
        <v/>
      </c>
      <c r="CN27" s="114" t="str">
        <f t="shared" si="16"/>
        <v>Top 75%</v>
      </c>
      <c r="CO27" s="115"/>
      <c r="CR27" s="116">
        <f t="shared" si="32"/>
        <v>2</v>
      </c>
      <c r="CS27" s="117" t="str">
        <f t="shared" si="33"/>
        <v>c</v>
      </c>
      <c r="CT27" s="118">
        <f t="shared" si="19"/>
        <v>3</v>
      </c>
      <c r="CU27" s="119" t="str">
        <f t="shared" si="34"/>
        <v>c</v>
      </c>
      <c r="CW27" s="120" t="str">
        <f t="shared" si="41"/>
        <v>2c</v>
      </c>
      <c r="CX27" s="120" t="str">
        <f t="shared" si="35"/>
        <v>3c</v>
      </c>
    </row>
    <row r="28" spans="1:121" s="19" customFormat="1" ht="56.15" customHeight="1" x14ac:dyDescent="0.35">
      <c r="A28" s="4" t="s">
        <v>410</v>
      </c>
      <c r="B28" s="10" t="s">
        <v>411</v>
      </c>
      <c r="C28" s="10" t="s">
        <v>412</v>
      </c>
      <c r="D28" s="10" t="s">
        <v>413</v>
      </c>
      <c r="E28" s="10" t="s">
        <v>414</v>
      </c>
      <c r="F28" s="10" t="s">
        <v>424</v>
      </c>
      <c r="G28" s="10" t="s">
        <v>425</v>
      </c>
      <c r="H28" s="10" t="s">
        <v>31</v>
      </c>
      <c r="I28" s="10" t="s">
        <v>31</v>
      </c>
      <c r="J28" s="11" t="s">
        <v>426</v>
      </c>
      <c r="K28" s="11"/>
      <c r="L28" s="11"/>
      <c r="M28" s="11" t="s">
        <v>30</v>
      </c>
      <c r="N28" s="11" t="s">
        <v>30</v>
      </c>
      <c r="O28" s="11"/>
      <c r="P28" s="11" t="s">
        <v>30</v>
      </c>
      <c r="Q28" s="11" t="s">
        <v>30</v>
      </c>
      <c r="R28" s="11" t="s">
        <v>1278</v>
      </c>
      <c r="S28" s="11" t="s">
        <v>30</v>
      </c>
      <c r="T28" s="11" t="s">
        <v>432</v>
      </c>
      <c r="U28" s="11" t="s">
        <v>52</v>
      </c>
      <c r="V28" s="11" t="s">
        <v>434</v>
      </c>
      <c r="W28" s="11" t="s">
        <v>437</v>
      </c>
      <c r="X28" s="11" t="s">
        <v>440</v>
      </c>
      <c r="Y28" s="11">
        <v>3.4</v>
      </c>
      <c r="Z28" s="11" t="s">
        <v>443</v>
      </c>
      <c r="AA28" s="21">
        <f>LOG(720)</f>
        <v>2.8573324964312685</v>
      </c>
      <c r="AB28" s="11" t="s">
        <v>446</v>
      </c>
      <c r="AC28" s="11" t="s">
        <v>449</v>
      </c>
      <c r="AD28" s="10"/>
      <c r="AE28" s="123" cm="1">
        <f t="array" ref="AE28">_xlfn.IFS(COUNTIF(Table14623[[#This Row],[PBT/ vPvB]],"*X*"), 20, TRUE, "")</f>
        <v>20</v>
      </c>
      <c r="AF28" s="124" cm="1">
        <f t="array" ref="AF28">_xlfn.IFS(COUNTIF(Table14623[[#This Row],[Perturbateur Endocrinien]],"*X*"), 20, TRUE, "")</f>
        <v>20</v>
      </c>
      <c r="AG28" s="124" t="str" cm="1">
        <f t="array" ref="AG28">_xlfn.IFS(COUNTIF(Table14623[[#This Row],[Phrases H]],"*H350*"), 20, TRUE, "")</f>
        <v/>
      </c>
      <c r="AH28" s="124" cm="1">
        <f t="array" ref="AH28">_xlfn.IFS(COUNTIF(Table14623[[#This Row],[Phrases H]],"*H360*"), 20, TRUE, "")</f>
        <v>20</v>
      </c>
      <c r="AI28" s="124" t="str" cm="1">
        <f t="array" ref="AI28">_xlfn.IFS(COUNTIF(Table14623[[#This Row],[Phrases H]],"*H340*"), 20, TRUE, "")</f>
        <v/>
      </c>
      <c r="AJ28" s="124" t="str" cm="1">
        <f t="array" ref="AJ28">_xlfn.IFS(COUNTIF(Table14623[[#This Row],[Phrases H]],"*H351*"), 10, TRUE, "")</f>
        <v/>
      </c>
      <c r="AK28" s="124" t="str" cm="1">
        <f t="array" ref="AK28">_xlfn.IFS(COUNTIF(Table14623[[#This Row],[Phrases H]],"*H361*"), 10, TRUE, "")</f>
        <v/>
      </c>
      <c r="AL28" s="124" t="str" cm="1">
        <f t="array" ref="AL28">_xlfn.IFS(COUNTIF(Table14623[[#This Row],[Phrases H]],"*H362*"), 10, TRUE, "")</f>
        <v/>
      </c>
      <c r="AM28" s="124" t="str" cm="1">
        <f t="array" ref="AM28">_xlfn.IFS(COUNTIF(Table14623[[#This Row],[Phrases H]],"*H341*"), 10, TRUE, "")</f>
        <v/>
      </c>
      <c r="AN28" s="124" t="str" cm="1">
        <f t="array" ref="AN28">_xlfn.IFS(COUNTIF(Table14623[[#This Row],[Phrases H]],"*H372*"), 10, TRUE, "")</f>
        <v/>
      </c>
      <c r="AO28" s="124" cm="1">
        <f t="array" ref="AO28">_xlfn.IFS(COUNTIF(Table14623[[#This Row],[Phrases H]],"*H410*"), 10, TRUE, "")</f>
        <v>10</v>
      </c>
      <c r="AP28" s="124" t="str" cm="1">
        <f t="array" ref="AP28">_xlfn.IFS(COUNTIF(Table14623[[#This Row],[Phrases H]],"*H373*"), 5, TRUE, "")</f>
        <v/>
      </c>
      <c r="AQ28" s="124" t="str" cm="1">
        <f t="array" ref="AQ28">_xlfn.IFS(COUNTIF(Table14623[[#This Row],[Phrases H]],"*H411*"), 5, TRUE, "")</f>
        <v/>
      </c>
      <c r="AR28" s="125">
        <f t="shared" ref="AR28:AR30" si="43">SUM(AE28:AQ28)</f>
        <v>70</v>
      </c>
      <c r="AS28" s="95"/>
      <c r="AT28" s="126">
        <v>1000000</v>
      </c>
      <c r="AU28" s="127" t="s">
        <v>337</v>
      </c>
      <c r="AV28" s="128">
        <f t="shared" ref="AV28:AV30" si="44">IF(AT28="N/A",0,IF(AT28&lt;=10,5,IF(AT28&lt;=100,10,IF(AT28&lt;=1000,15,IF(AT28&lt;=10000,20,25)))))</f>
        <v>25</v>
      </c>
      <c r="AW28" s="129" t="str">
        <f t="shared" ref="AW28:AW30" si="45">IF(AV28=25,"Production très élevée",IF(AV28=20,"Production élevée",IF(AV28=15,"Production modérée",IF(AV28=10,"Faible production",IF(AV28=5,"Très faible production","N/A")))))</f>
        <v>Production très élevée</v>
      </c>
      <c r="AX28" s="95"/>
      <c r="AY28" s="130">
        <f t="shared" si="37"/>
        <v>95</v>
      </c>
      <c r="AZ28" s="17"/>
      <c r="BA28" s="126">
        <v>300</v>
      </c>
      <c r="BB28" s="131">
        <f t="shared" si="28"/>
        <v>30</v>
      </c>
      <c r="BC28" s="128" t="str">
        <f t="shared" si="29"/>
        <v>Moyennement mobile</v>
      </c>
      <c r="BD28" s="131">
        <v>2.8573324964312685</v>
      </c>
      <c r="BE28" s="128" t="str">
        <f t="shared" si="38"/>
        <v>Mobile</v>
      </c>
      <c r="BF28" s="131">
        <v>228.29</v>
      </c>
      <c r="BG28" s="131">
        <v>0</v>
      </c>
      <c r="BH28" s="131">
        <v>0</v>
      </c>
      <c r="BI28" s="128" t="str">
        <f t="shared" ref="BI28:BI74" si="46">IF(OR(BF28="N/A",BG28="N/A",BH28="N/A"),"N/A",IF(AND(BF28&gt;200,BG28&gt;67,BH28&gt;0.5),"Volatile","Non volatil"))</f>
        <v>Non volatil</v>
      </c>
      <c r="BJ28" s="132" t="s">
        <v>1278</v>
      </c>
      <c r="BK28" s="133" t="s">
        <v>341</v>
      </c>
      <c r="BL28" s="17"/>
      <c r="BM28" s="134" t="str">
        <f>_xlfn.CONCAT(AR28,", ",AW28," (",AV28,")",", ",BC28," (solubilité), ",BE28," (log Koc), ",,BI28,", ",BJ28,",",BK28)</f>
        <v>70, Production très élevée (25), Moyennement mobile (solubilité), Mobile (log Koc), Non volatil, facilement biodégradable,EUROFINS</v>
      </c>
      <c r="BN28" s="17"/>
      <c r="BO28" s="17"/>
      <c r="BP28" s="17"/>
      <c r="BQ28" s="17"/>
      <c r="BR28" s="17"/>
      <c r="BS28" s="17"/>
      <c r="BT28" s="33">
        <v>70</v>
      </c>
      <c r="BU28" s="34" t="s">
        <v>1072</v>
      </c>
      <c r="BV28" s="34" t="s">
        <v>1076</v>
      </c>
      <c r="BW28" s="34" t="s">
        <v>1071</v>
      </c>
      <c r="BX28" s="34" t="s">
        <v>1081</v>
      </c>
      <c r="BY28" s="34" t="s">
        <v>1278</v>
      </c>
      <c r="BZ28" s="35" t="s">
        <v>341</v>
      </c>
      <c r="CA28" s="17"/>
      <c r="CB28" s="135" t="s">
        <v>1256</v>
      </c>
      <c r="CC28" s="136">
        <v>4</v>
      </c>
      <c r="CD28" s="17"/>
      <c r="CE28" s="137">
        <f t="shared" si="8"/>
        <v>100.33333333333333</v>
      </c>
      <c r="CF28" s="138">
        <f t="shared" ref="CF28:CF74" si="47">CE28/79</f>
        <v>1.270042194092827</v>
      </c>
      <c r="CG28" s="17"/>
      <c r="CH28" s="139" t="str">
        <f t="shared" ref="CH28:CH74" si="48">IF(CF28&lt;=0.2,"Catégorie 1",IF(CF28&lt;=0.4,"Catégorie 2",IF(CF28&lt;=0.6,"Catégorie 3",IF(CF28&lt;=0.8,"Catégorie 4","Catégorie 5"))))</f>
        <v>Catégorie 5</v>
      </c>
      <c r="CI28" s="140" t="str">
        <f t="shared" ref="CI28:CI74" si="49">IF(BZ28="N/A","c","")</f>
        <v/>
      </c>
      <c r="CJ28" s="141" t="str">
        <f t="shared" si="12"/>
        <v>Top 5%</v>
      </c>
      <c r="CK28" s="141" t="str">
        <f t="shared" si="13"/>
        <v>Top 10%</v>
      </c>
      <c r="CL28" s="142" t="str">
        <f t="shared" si="14"/>
        <v>Top 25%</v>
      </c>
      <c r="CM28" s="142" t="str">
        <f t="shared" si="15"/>
        <v>Top 50%</v>
      </c>
      <c r="CN28" s="143" t="str">
        <f t="shared" si="16"/>
        <v>Top 75%</v>
      </c>
      <c r="CO28" s="17"/>
      <c r="CP28" s="17"/>
      <c r="CQ28" s="17"/>
      <c r="CR28" s="17"/>
      <c r="CS28" s="17" t="str">
        <f t="shared" si="33"/>
        <v/>
      </c>
      <c r="CT28" s="17"/>
      <c r="CU28" s="17" t="str">
        <f t="shared" si="34"/>
        <v/>
      </c>
      <c r="CV28" s="17"/>
      <c r="CW28" s="17"/>
      <c r="CX28" s="17"/>
      <c r="CY28" s="17"/>
      <c r="CZ28" s="17"/>
      <c r="DA28" s="17"/>
      <c r="DB28" s="17"/>
      <c r="DC28" s="17"/>
      <c r="DD28" s="17"/>
      <c r="DE28" s="17"/>
      <c r="DF28" s="17"/>
      <c r="DG28" s="17"/>
      <c r="DH28" s="17"/>
      <c r="DI28" s="17"/>
      <c r="DJ28" s="17"/>
      <c r="DK28" s="17"/>
      <c r="DL28" s="17"/>
      <c r="DM28" s="17"/>
      <c r="DN28" s="17"/>
      <c r="DO28" s="17"/>
      <c r="DP28" s="17"/>
    </row>
    <row r="29" spans="1:121" s="19" customFormat="1" ht="45" customHeight="1" x14ac:dyDescent="0.35">
      <c r="A29" s="4" t="s">
        <v>410</v>
      </c>
      <c r="B29" s="10" t="s">
        <v>415</v>
      </c>
      <c r="C29" s="10" t="s">
        <v>416</v>
      </c>
      <c r="D29" s="10" t="s">
        <v>417</v>
      </c>
      <c r="E29" s="10" t="s">
        <v>418</v>
      </c>
      <c r="F29" s="10" t="s">
        <v>427</v>
      </c>
      <c r="G29" s="10" t="s">
        <v>428</v>
      </c>
      <c r="H29" s="10" t="s">
        <v>31</v>
      </c>
      <c r="I29" s="10" t="s">
        <v>31</v>
      </c>
      <c r="J29" s="11" t="s">
        <v>429</v>
      </c>
      <c r="K29" s="11"/>
      <c r="L29" s="11"/>
      <c r="M29" s="11"/>
      <c r="N29" s="11" t="s">
        <v>30</v>
      </c>
      <c r="O29" s="11"/>
      <c r="P29" s="11"/>
      <c r="Q29" s="11"/>
      <c r="R29" s="11" t="s">
        <v>1273</v>
      </c>
      <c r="S29" s="11" t="s">
        <v>30</v>
      </c>
      <c r="T29" s="11" t="s">
        <v>325</v>
      </c>
      <c r="U29" s="11" t="s">
        <v>40</v>
      </c>
      <c r="V29" s="11" t="s">
        <v>435</v>
      </c>
      <c r="W29" s="11" t="s">
        <v>438</v>
      </c>
      <c r="X29" s="11" t="s">
        <v>441</v>
      </c>
      <c r="Y29" s="11">
        <v>1.2</v>
      </c>
      <c r="Z29" s="11" t="s">
        <v>444</v>
      </c>
      <c r="AA29" s="21">
        <v>2.82</v>
      </c>
      <c r="AB29" s="11" t="s">
        <v>447</v>
      </c>
      <c r="AC29" s="11" t="s">
        <v>450</v>
      </c>
      <c r="AD29" s="10"/>
      <c r="AE29" s="92" t="str" cm="1">
        <f t="array" ref="AE29">_xlfn.IFS(COUNTIF(Table14623[[#This Row],[PBT/ vPvB]],"*X*"), 20, TRUE, "")</f>
        <v/>
      </c>
      <c r="AF29" s="93" cm="1">
        <f t="array" ref="AF29">_xlfn.IFS(COUNTIF(Table14623[[#This Row],[Perturbateur Endocrinien]],"*X*"), 20, TRUE, "")</f>
        <v>20</v>
      </c>
      <c r="AG29" s="93" t="str" cm="1">
        <f t="array" ref="AG29">_xlfn.IFS(COUNTIF(Table14623[[#This Row],[Phrases H]],"*H350*"), 20, TRUE, "")</f>
        <v/>
      </c>
      <c r="AH29" s="93" cm="1">
        <f t="array" ref="AH29">_xlfn.IFS(COUNTIF(Table14623[[#This Row],[Phrases H]],"*H360*"), 20, TRUE, "")</f>
        <v>20</v>
      </c>
      <c r="AI29" s="93" t="str" cm="1">
        <f t="array" ref="AI29">_xlfn.IFS(COUNTIF(Table14623[[#This Row],[Phrases H]],"*H340*"), 20, TRUE, "")</f>
        <v/>
      </c>
      <c r="AJ29" s="93" t="str" cm="1">
        <f t="array" ref="AJ29">_xlfn.IFS(COUNTIF(Table14623[[#This Row],[Phrases H]],"*H351*"), 10, TRUE, "")</f>
        <v/>
      </c>
      <c r="AK29" s="93" t="str" cm="1">
        <f t="array" ref="AK29">_xlfn.IFS(COUNTIF(Table14623[[#This Row],[Phrases H]],"*H361*"), 10, TRUE, "")</f>
        <v/>
      </c>
      <c r="AL29" s="93" t="str" cm="1">
        <f t="array" ref="AL29">_xlfn.IFS(COUNTIF(Table14623[[#This Row],[Phrases H]],"*H362*"), 10, TRUE, "")</f>
        <v/>
      </c>
      <c r="AM29" s="93" t="str" cm="1">
        <f t="array" ref="AM29">_xlfn.IFS(COUNTIF(Table14623[[#This Row],[Phrases H]],"*H341*"), 10, TRUE, "")</f>
        <v/>
      </c>
      <c r="AN29" s="93" t="str" cm="1">
        <f t="array" ref="AN29">_xlfn.IFS(COUNTIF(Table14623[[#This Row],[Phrases H]],"*H372*"), 10, TRUE, "")</f>
        <v/>
      </c>
      <c r="AO29" s="93" t="str" cm="1">
        <f t="array" ref="AO29">_xlfn.IFS(COUNTIF(Table14623[[#This Row],[Phrases H]],"*H410*"), 10, TRUE, "")</f>
        <v/>
      </c>
      <c r="AP29" s="93" t="str" cm="1">
        <f t="array" ref="AP29">_xlfn.IFS(COUNTIF(Table14623[[#This Row],[Phrases H]],"*H373*"), 5, TRUE, "")</f>
        <v/>
      </c>
      <c r="AQ29" s="93" t="str" cm="1">
        <f t="array" ref="AQ29">_xlfn.IFS(COUNTIF(Table14623[[#This Row],[Phrases H]],"*H411*"), 5, TRUE, "")</f>
        <v/>
      </c>
      <c r="AR29" s="94">
        <f t="shared" si="43"/>
        <v>40</v>
      </c>
      <c r="AS29" s="95"/>
      <c r="AT29" s="144">
        <v>10000</v>
      </c>
      <c r="AU29" s="97" t="s">
        <v>337</v>
      </c>
      <c r="AV29" s="98">
        <f t="shared" si="44"/>
        <v>20</v>
      </c>
      <c r="AW29" s="99" t="str">
        <f t="shared" si="45"/>
        <v>Production élevée</v>
      </c>
      <c r="AX29" s="95"/>
      <c r="AY29" s="100">
        <f t="shared" si="37"/>
        <v>60</v>
      </c>
      <c r="AZ29" s="17"/>
      <c r="BA29" s="144">
        <v>715</v>
      </c>
      <c r="BB29" s="101">
        <f t="shared" si="28"/>
        <v>30</v>
      </c>
      <c r="BC29" s="98" t="str">
        <f t="shared" si="29"/>
        <v>Moyennement mobile</v>
      </c>
      <c r="BD29" s="101">
        <v>2.82</v>
      </c>
      <c r="BE29" s="98" t="str">
        <f t="shared" si="38"/>
        <v>Mobile</v>
      </c>
      <c r="BF29" s="101">
        <v>250.27</v>
      </c>
      <c r="BG29" s="101">
        <v>6.2900000000000001E-8</v>
      </c>
      <c r="BH29" s="101">
        <v>0.35922500000000002</v>
      </c>
      <c r="BI29" s="98" t="str">
        <f t="shared" si="46"/>
        <v>Non volatil</v>
      </c>
      <c r="BJ29" s="102" t="s">
        <v>1273</v>
      </c>
      <c r="BK29" s="103" t="s">
        <v>31</v>
      </c>
      <c r="BL29" s="17"/>
      <c r="BM29" s="104" t="str">
        <f t="shared" si="39"/>
        <v>40, Production élevée (20), Moyennement mobile (solubilité), Mobile (log Koc), Non volatil, intrinsèquement biodégradable,N/A</v>
      </c>
      <c r="BN29" s="17"/>
      <c r="BO29" s="17"/>
      <c r="BP29" s="17"/>
      <c r="BQ29" s="17"/>
      <c r="BR29" s="17"/>
      <c r="BS29" s="17"/>
      <c r="BT29" s="36">
        <v>40</v>
      </c>
      <c r="BU29" s="37" t="s">
        <v>1073</v>
      </c>
      <c r="BV29" s="37" t="s">
        <v>1076</v>
      </c>
      <c r="BW29" s="37" t="s">
        <v>1071</v>
      </c>
      <c r="BX29" s="37" t="s">
        <v>1081</v>
      </c>
      <c r="BY29" s="37" t="s">
        <v>1273</v>
      </c>
      <c r="BZ29" s="38" t="s">
        <v>31</v>
      </c>
      <c r="CA29" s="17"/>
      <c r="CB29" s="105" t="s">
        <v>1257</v>
      </c>
      <c r="CC29" s="106">
        <v>2</v>
      </c>
      <c r="CD29" s="17"/>
      <c r="CE29" s="107">
        <f t="shared" si="8"/>
        <v>59.333333333333336</v>
      </c>
      <c r="CF29" s="108">
        <f t="shared" si="47"/>
        <v>0.75105485232067515</v>
      </c>
      <c r="CG29" s="17"/>
      <c r="CH29" s="110" t="str">
        <f t="shared" si="48"/>
        <v>Catégorie 4</v>
      </c>
      <c r="CI29" s="111" t="str">
        <f t="shared" si="49"/>
        <v>c</v>
      </c>
      <c r="CJ29" s="112" t="str">
        <f t="shared" si="12"/>
        <v/>
      </c>
      <c r="CK29" s="112" t="str">
        <f t="shared" si="13"/>
        <v/>
      </c>
      <c r="CL29" s="113" t="str">
        <f t="shared" si="14"/>
        <v>Top 25%</v>
      </c>
      <c r="CM29" s="113" t="str">
        <f t="shared" si="15"/>
        <v>Top 50%</v>
      </c>
      <c r="CN29" s="114" t="str">
        <f t="shared" si="16"/>
        <v>Top 75%</v>
      </c>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row>
    <row r="30" spans="1:121" s="19" customFormat="1" ht="30" customHeight="1" thickBot="1" x14ac:dyDescent="0.4">
      <c r="A30" s="4" t="s">
        <v>410</v>
      </c>
      <c r="B30" s="10" t="s">
        <v>419</v>
      </c>
      <c r="C30" s="10" t="s">
        <v>420</v>
      </c>
      <c r="D30" s="10" t="s">
        <v>421</v>
      </c>
      <c r="E30" s="10" t="s">
        <v>422</v>
      </c>
      <c r="F30" s="10" t="s">
        <v>430</v>
      </c>
      <c r="G30" s="10" t="s">
        <v>431</v>
      </c>
      <c r="H30" s="10" t="s">
        <v>31</v>
      </c>
      <c r="I30" s="10" t="s">
        <v>31</v>
      </c>
      <c r="J30" s="11" t="s">
        <v>29</v>
      </c>
      <c r="K30" s="11"/>
      <c r="L30" s="11"/>
      <c r="M30" s="11"/>
      <c r="N30" s="11"/>
      <c r="O30" s="11"/>
      <c r="P30" s="11"/>
      <c r="Q30" s="11"/>
      <c r="R30" s="11" t="s">
        <v>1275</v>
      </c>
      <c r="S30" s="11" t="s">
        <v>30</v>
      </c>
      <c r="T30" s="11" t="s">
        <v>433</v>
      </c>
      <c r="U30" s="11" t="s">
        <v>31</v>
      </c>
      <c r="V30" s="11" t="s">
        <v>436</v>
      </c>
      <c r="W30" s="11" t="s">
        <v>439</v>
      </c>
      <c r="X30" s="11" t="s">
        <v>442</v>
      </c>
      <c r="Y30" s="11">
        <v>3.75</v>
      </c>
      <c r="Z30" s="11" t="s">
        <v>445</v>
      </c>
      <c r="AA30" s="21">
        <f>LOG(6310)</f>
        <v>3.8000293592441343</v>
      </c>
      <c r="AB30" s="11" t="s">
        <v>448</v>
      </c>
      <c r="AC30" s="11" t="s">
        <v>451</v>
      </c>
      <c r="AD30" s="10"/>
      <c r="AE30" s="92" t="str" cm="1">
        <f t="array" ref="AE30">_xlfn.IFS(COUNTIF(Table14623[[#This Row],[PBT/ vPvB]],"*X*"), 20, TRUE, "")</f>
        <v/>
      </c>
      <c r="AF30" s="93" cm="1">
        <f t="array" ref="AF30">_xlfn.IFS(COUNTIF(Table14623[[#This Row],[Perturbateur Endocrinien]],"*X*"), 20, TRUE, "")</f>
        <v>20</v>
      </c>
      <c r="AG30" s="93" t="str" cm="1">
        <f t="array" ref="AG30">_xlfn.IFS(COUNTIF(Table14623[[#This Row],[Phrases H]],"*H350*"), 20, TRUE, "")</f>
        <v/>
      </c>
      <c r="AH30" s="93" t="str" cm="1">
        <f t="array" ref="AH30">_xlfn.IFS(COUNTIF(Table14623[[#This Row],[Phrases H]],"*H360*"), 20, TRUE, "")</f>
        <v/>
      </c>
      <c r="AI30" s="93" t="str" cm="1">
        <f t="array" ref="AI30">_xlfn.IFS(COUNTIF(Table14623[[#This Row],[Phrases H]],"*H340*"), 20, TRUE, "")</f>
        <v/>
      </c>
      <c r="AJ30" s="93" t="str" cm="1">
        <f t="array" ref="AJ30">_xlfn.IFS(COUNTIF(Table14623[[#This Row],[Phrases H]],"*H351*"), 10, TRUE, "")</f>
        <v/>
      </c>
      <c r="AK30" s="93" t="str" cm="1">
        <f t="array" ref="AK30">_xlfn.IFS(COUNTIF(Table14623[[#This Row],[Phrases H]],"*H361*"), 10, TRUE, "")</f>
        <v/>
      </c>
      <c r="AL30" s="93" t="str" cm="1">
        <f t="array" ref="AL30">_xlfn.IFS(COUNTIF(Table14623[[#This Row],[Phrases H]],"*H362*"), 10, TRUE, "")</f>
        <v/>
      </c>
      <c r="AM30" s="93" t="str" cm="1">
        <f t="array" ref="AM30">_xlfn.IFS(COUNTIF(Table14623[[#This Row],[Phrases H]],"*H341*"), 10, TRUE, "")</f>
        <v/>
      </c>
      <c r="AN30" s="93" t="str" cm="1">
        <f t="array" ref="AN30">_xlfn.IFS(COUNTIF(Table14623[[#This Row],[Phrases H]],"*H372*"), 10, TRUE, "")</f>
        <v/>
      </c>
      <c r="AO30" s="93" t="str" cm="1">
        <f t="array" ref="AO30">_xlfn.IFS(COUNTIF(Table14623[[#This Row],[Phrases H]],"*H410*"), 10, TRUE, "")</f>
        <v/>
      </c>
      <c r="AP30" s="93" t="str" cm="1">
        <f t="array" ref="AP30">_xlfn.IFS(COUNTIF(Table14623[[#This Row],[Phrases H]],"*H373*"), 5, TRUE, "")</f>
        <v/>
      </c>
      <c r="AQ30" s="93" t="str" cm="1">
        <f t="array" ref="AQ30">_xlfn.IFS(COUNTIF(Table14623[[#This Row],[Phrases H]],"*H411*"), 5, TRUE, "")</f>
        <v/>
      </c>
      <c r="AR30" s="94">
        <f t="shared" si="43"/>
        <v>20</v>
      </c>
      <c r="AS30" s="95"/>
      <c r="AT30" s="144">
        <v>1000</v>
      </c>
      <c r="AU30" s="97" t="s">
        <v>337</v>
      </c>
      <c r="AV30" s="98">
        <f t="shared" si="44"/>
        <v>15</v>
      </c>
      <c r="AW30" s="99" t="str">
        <f t="shared" si="45"/>
        <v>Production modérée</v>
      </c>
      <c r="AX30" s="95"/>
      <c r="AY30" s="100">
        <f t="shared" si="37"/>
        <v>35</v>
      </c>
      <c r="AZ30" s="17"/>
      <c r="BA30" s="144">
        <v>100</v>
      </c>
      <c r="BB30" s="101">
        <f t="shared" si="28"/>
        <v>30</v>
      </c>
      <c r="BC30" s="98" t="str">
        <f t="shared" si="29"/>
        <v>Moyennement mobile</v>
      </c>
      <c r="BD30" s="101">
        <v>3.8000293592441343</v>
      </c>
      <c r="BE30" s="98" t="str">
        <f t="shared" si="38"/>
        <v>Non mobile</v>
      </c>
      <c r="BF30" s="101">
        <v>256.33999999999997</v>
      </c>
      <c r="BG30" s="101">
        <v>0</v>
      </c>
      <c r="BH30" s="101">
        <v>9.2206800000000005E-2</v>
      </c>
      <c r="BI30" s="98" t="str">
        <f t="shared" si="46"/>
        <v>Non volatil</v>
      </c>
      <c r="BJ30" s="102" t="s">
        <v>1275</v>
      </c>
      <c r="BK30" s="103" t="s">
        <v>31</v>
      </c>
      <c r="BL30" s="17"/>
      <c r="BM30" s="104" t="str">
        <f t="shared" si="39"/>
        <v>20, Production modérée (15), Moyennement mobile (solubilité), Non mobile (log Koc), Non volatil, non biodégradable,N/A</v>
      </c>
      <c r="BN30" s="17"/>
      <c r="BO30" s="17"/>
      <c r="BP30" s="17"/>
      <c r="BQ30" s="17"/>
      <c r="BR30" s="17"/>
      <c r="BS30" s="17"/>
      <c r="BT30" s="36">
        <v>20</v>
      </c>
      <c r="BU30" s="37" t="s">
        <v>1074</v>
      </c>
      <c r="BV30" s="37" t="s">
        <v>1076</v>
      </c>
      <c r="BW30" s="37" t="s">
        <v>1080</v>
      </c>
      <c r="BX30" s="37" t="s">
        <v>1081</v>
      </c>
      <c r="BY30" s="37" t="s">
        <v>1275</v>
      </c>
      <c r="BZ30" s="38" t="s">
        <v>31</v>
      </c>
      <c r="CA30" s="17"/>
      <c r="CB30" s="105"/>
      <c r="CC30" s="106">
        <v>0</v>
      </c>
      <c r="CD30" s="17"/>
      <c r="CE30" s="107">
        <f t="shared" si="8"/>
        <v>27.666666666666668</v>
      </c>
      <c r="CF30" s="108">
        <f t="shared" si="47"/>
        <v>0.35021097046413502</v>
      </c>
      <c r="CG30" s="17"/>
      <c r="CH30" s="110" t="str">
        <f t="shared" si="48"/>
        <v>Catégorie 2</v>
      </c>
      <c r="CI30" s="111" t="str">
        <f t="shared" si="49"/>
        <v>c</v>
      </c>
      <c r="CJ30" s="112" t="str">
        <f t="shared" si="12"/>
        <v/>
      </c>
      <c r="CK30" s="112" t="str">
        <f t="shared" si="13"/>
        <v/>
      </c>
      <c r="CL30" s="113" t="str">
        <f t="shared" si="14"/>
        <v/>
      </c>
      <c r="CM30" s="113" t="str">
        <f t="shared" si="15"/>
        <v/>
      </c>
      <c r="CN30" s="114" t="str">
        <f t="shared" si="16"/>
        <v>Top 75%</v>
      </c>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23"/>
    </row>
    <row r="31" spans="1:121" s="19" customFormat="1" ht="30" customHeight="1" x14ac:dyDescent="0.35">
      <c r="A31" s="4" t="s">
        <v>452</v>
      </c>
      <c r="B31" s="10" t="s">
        <v>453</v>
      </c>
      <c r="C31" s="10" t="s">
        <v>454</v>
      </c>
      <c r="D31" s="10" t="s">
        <v>455</v>
      </c>
      <c r="E31" s="10" t="s">
        <v>456</v>
      </c>
      <c r="F31" s="10" t="s">
        <v>457</v>
      </c>
      <c r="G31" s="10" t="s">
        <v>458</v>
      </c>
      <c r="H31" s="4" t="s">
        <v>31</v>
      </c>
      <c r="I31" s="4" t="s">
        <v>31</v>
      </c>
      <c r="J31" s="10" t="s">
        <v>429</v>
      </c>
      <c r="K31" s="11"/>
      <c r="L31" s="11"/>
      <c r="M31" s="11"/>
      <c r="N31" s="11" t="s">
        <v>30</v>
      </c>
      <c r="O31" s="11" t="s">
        <v>30</v>
      </c>
      <c r="P31" s="11"/>
      <c r="Q31" s="11"/>
      <c r="R31" s="11" t="s">
        <v>1278</v>
      </c>
      <c r="S31" s="11"/>
      <c r="T31" s="10" t="s">
        <v>512</v>
      </c>
      <c r="U31" s="10" t="s">
        <v>52</v>
      </c>
      <c r="V31" s="10" t="s">
        <v>525</v>
      </c>
      <c r="W31" s="10" t="s">
        <v>537</v>
      </c>
      <c r="X31" s="10" t="s">
        <v>549</v>
      </c>
      <c r="Y31" s="14">
        <v>3.44</v>
      </c>
      <c r="Z31" s="4"/>
      <c r="AA31" s="14">
        <v>2.79</v>
      </c>
      <c r="AB31" s="16" t="s">
        <v>562</v>
      </c>
      <c r="AC31" s="10" t="s">
        <v>574</v>
      </c>
      <c r="AD31" s="10"/>
      <c r="AE31" s="123" t="str" cm="1">
        <f t="array" ref="AE31">_xlfn.IFS(COUNTIF(Table14623[[#This Row],[PBT/ vPvB]],"*X*"), 20, TRUE, "")</f>
        <v/>
      </c>
      <c r="AF31" s="124" t="str" cm="1">
        <f t="array" ref="AF31">_xlfn.IFS(COUNTIF(Table14623[[#This Row],[Perturbateur Endocrinien]],"*X*"), 20, TRUE, "")</f>
        <v/>
      </c>
      <c r="AG31" s="124" t="str" cm="1">
        <f t="array" ref="AG31">_xlfn.IFS(COUNTIF(Table14623[[#This Row],[Phrases H]],"*H350*"), 20, TRUE, "")</f>
        <v/>
      </c>
      <c r="AH31" s="124" t="str" cm="1">
        <f t="array" ref="AH31">_xlfn.IFS(COUNTIF(Table14623[[#This Row],[Phrases H]],"*H360*"), 20, TRUE, "")</f>
        <v/>
      </c>
      <c r="AI31" s="124" t="str" cm="1">
        <f t="array" ref="AI31">_xlfn.IFS(COUNTIF(Table14623[[#This Row],[Phrases H]],"*H340*"), 20, TRUE, "")</f>
        <v/>
      </c>
      <c r="AJ31" s="124" cm="1">
        <f t="array" ref="AJ31">_xlfn.IFS(COUNTIF(Table14623[[#This Row],[Phrases H]],"*H351*"), 10, TRUE, "")</f>
        <v>10</v>
      </c>
      <c r="AK31" s="124" t="str" cm="1">
        <f t="array" ref="AK31">_xlfn.IFS(COUNTIF(Table14623[[#This Row],[Phrases H]],"*H361*"), 10, TRUE, "")</f>
        <v/>
      </c>
      <c r="AL31" s="124" t="str" cm="1">
        <f t="array" ref="AL31">_xlfn.IFS(COUNTIF(Table14623[[#This Row],[Phrases H]],"*H362*"), 10, TRUE, "")</f>
        <v/>
      </c>
      <c r="AM31" s="124" t="str" cm="1">
        <f t="array" ref="AM31">_xlfn.IFS(COUNTIF(Table14623[[#This Row],[Phrases H]],"*H341*"), 10, TRUE, "")</f>
        <v/>
      </c>
      <c r="AN31" s="124" t="str" cm="1">
        <f t="array" ref="AN31">_xlfn.IFS(COUNTIF(Table14623[[#This Row],[Phrases H]],"*H372*"), 10, TRUE, "")</f>
        <v/>
      </c>
      <c r="AO31" s="124" cm="1">
        <f t="array" ref="AO31">_xlfn.IFS(COUNTIF(Table14623[[#This Row],[Phrases H]],"*H410*"), 10, TRUE, "")</f>
        <v>10</v>
      </c>
      <c r="AP31" s="124" t="str" cm="1">
        <f t="array" ref="AP31">_xlfn.IFS(COUNTIF(Table14623[[#This Row],[Phrases H]],"*H373*"), 5, TRUE, "")</f>
        <v/>
      </c>
      <c r="AQ31" s="124" t="str" cm="1">
        <f t="array" ref="AQ31">_xlfn.IFS(COUNTIF(Table14623[[#This Row],[Phrases H]],"*H411*"), 5, TRUE, "")</f>
        <v/>
      </c>
      <c r="AR31" s="125">
        <f t="shared" ref="AR31:AR42" si="50">SUM(AE31:AQ31)</f>
        <v>20</v>
      </c>
      <c r="AS31" s="95"/>
      <c r="AT31" s="126">
        <v>10000</v>
      </c>
      <c r="AU31" s="127" t="s">
        <v>337</v>
      </c>
      <c r="AV31" s="128">
        <f t="shared" ref="AV31:AV60" si="51">IF(AT31="N/A",0,IF(AT31&lt;=10,5,IF(AT31&lt;=100,10,IF(AT31&lt;=1000,15,IF(AT31&lt;=10000,20,25)))))</f>
        <v>20</v>
      </c>
      <c r="AW31" s="129" t="str">
        <f t="shared" ref="AW31:AW60" si="52">IF(AV31=25,"Production très élevée",IF(AV31=20,"Production élevée",IF(AV31=15,"Production modérée",IF(AV31=10,"Faible production",IF(AV31=5,"Très faible production","N/A")))))</f>
        <v>Production élevée</v>
      </c>
      <c r="AX31" s="95"/>
      <c r="AY31" s="130">
        <f t="shared" si="37"/>
        <v>40</v>
      </c>
      <c r="AZ31" s="17"/>
      <c r="BA31" s="126">
        <v>82.9</v>
      </c>
      <c r="BB31" s="131">
        <f t="shared" si="28"/>
        <v>30</v>
      </c>
      <c r="BC31" s="128" t="str">
        <f t="shared" si="29"/>
        <v>Moyennement mobile</v>
      </c>
      <c r="BD31" s="131">
        <v>2.79</v>
      </c>
      <c r="BE31" s="128" t="str">
        <f t="shared" si="38"/>
        <v>Mobile</v>
      </c>
      <c r="BF31" s="131">
        <v>147</v>
      </c>
      <c r="BG31" s="131">
        <v>53</v>
      </c>
      <c r="BH31" s="131">
        <v>262.39999999999998</v>
      </c>
      <c r="BI31" s="128" t="str">
        <f t="shared" si="46"/>
        <v>Non volatil</v>
      </c>
      <c r="BJ31" s="132" t="s">
        <v>1278</v>
      </c>
      <c r="BK31" s="133" t="s">
        <v>343</v>
      </c>
      <c r="BL31" s="17"/>
      <c r="BM31" s="134" t="str">
        <f t="shared" si="39"/>
        <v>20, Production élevée (20), Moyennement mobile (solubilité), Mobile (log Koc), Non volatil, facilement biodégradable,EUROFINS, SERVACO</v>
      </c>
      <c r="BN31" s="17"/>
      <c r="BO31" s="17"/>
      <c r="BP31" s="17"/>
      <c r="BQ31" s="17"/>
      <c r="BR31" s="17"/>
      <c r="BS31" s="17"/>
      <c r="BT31" s="39">
        <v>20</v>
      </c>
      <c r="BU31" s="40" t="s">
        <v>1073</v>
      </c>
      <c r="BV31" s="40" t="s">
        <v>1076</v>
      </c>
      <c r="BW31" s="40" t="s">
        <v>1071</v>
      </c>
      <c r="BX31" s="40" t="s">
        <v>1081</v>
      </c>
      <c r="BY31" s="40" t="s">
        <v>1278</v>
      </c>
      <c r="BZ31" s="41" t="s">
        <v>343</v>
      </c>
      <c r="CA31" s="17"/>
      <c r="CB31" s="135" t="s">
        <v>1259</v>
      </c>
      <c r="CC31" s="136">
        <v>2</v>
      </c>
      <c r="CD31" s="17"/>
      <c r="CE31" s="137">
        <f t="shared" si="8"/>
        <v>40.666666666666671</v>
      </c>
      <c r="CF31" s="138">
        <f t="shared" si="47"/>
        <v>0.51476793248945152</v>
      </c>
      <c r="CG31" s="17"/>
      <c r="CH31" s="139" t="str">
        <f t="shared" si="48"/>
        <v>Catégorie 3</v>
      </c>
      <c r="CI31" s="140" t="str">
        <f t="shared" si="49"/>
        <v/>
      </c>
      <c r="CJ31" s="141" t="str">
        <f t="shared" si="12"/>
        <v/>
      </c>
      <c r="CK31" s="141" t="str">
        <f t="shared" si="13"/>
        <v/>
      </c>
      <c r="CL31" s="142" t="str">
        <f t="shared" si="14"/>
        <v/>
      </c>
      <c r="CM31" s="142" t="str">
        <f t="shared" si="15"/>
        <v>Top 50%</v>
      </c>
      <c r="CN31" s="143" t="str">
        <f t="shared" si="16"/>
        <v>Top 75%</v>
      </c>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row>
    <row r="32" spans="1:121" s="19" customFormat="1" ht="30" customHeight="1" x14ac:dyDescent="0.35">
      <c r="A32" s="4" t="s">
        <v>452</v>
      </c>
      <c r="B32" s="10" t="s">
        <v>459</v>
      </c>
      <c r="C32" s="10" t="s">
        <v>26</v>
      </c>
      <c r="D32" s="10" t="s">
        <v>460</v>
      </c>
      <c r="E32" s="10" t="s">
        <v>461</v>
      </c>
      <c r="F32" s="10" t="s">
        <v>462</v>
      </c>
      <c r="G32" s="10" t="s">
        <v>463</v>
      </c>
      <c r="H32" s="4" t="s">
        <v>31</v>
      </c>
      <c r="I32" s="4" t="s">
        <v>31</v>
      </c>
      <c r="J32" s="10" t="s">
        <v>31</v>
      </c>
      <c r="K32" s="11" t="s">
        <v>30</v>
      </c>
      <c r="L32" s="11" t="s">
        <v>30</v>
      </c>
      <c r="M32" s="11"/>
      <c r="N32" s="11"/>
      <c r="O32" s="11" t="s">
        <v>30</v>
      </c>
      <c r="P32" s="11" t="s">
        <v>30</v>
      </c>
      <c r="Q32" s="11" t="s">
        <v>30</v>
      </c>
      <c r="R32" s="11" t="s">
        <v>31</v>
      </c>
      <c r="S32" s="11"/>
      <c r="T32" s="10" t="s">
        <v>513</v>
      </c>
      <c r="U32" s="10" t="s">
        <v>40</v>
      </c>
      <c r="V32" s="10" t="s">
        <v>526</v>
      </c>
      <c r="W32" s="10" t="s">
        <v>538</v>
      </c>
      <c r="X32" s="10" t="s">
        <v>550</v>
      </c>
      <c r="Y32" s="14">
        <v>5.03</v>
      </c>
      <c r="Z32" s="4"/>
      <c r="AA32" s="14">
        <v>4.3899999999999997</v>
      </c>
      <c r="AB32" s="16" t="s">
        <v>563</v>
      </c>
      <c r="AC32" s="10" t="s">
        <v>575</v>
      </c>
      <c r="AD32" s="10"/>
      <c r="AE32" s="92" cm="1">
        <f t="array" ref="AE32">_xlfn.IFS(COUNTIF(Table14623[[#This Row],[PBT/ vPvB]],"*X*"), 20, TRUE, "")</f>
        <v>20</v>
      </c>
      <c r="AF32" s="93" t="str" cm="1">
        <f t="array" ref="AF32">_xlfn.IFS(COUNTIF(Table14623[[#This Row],[Perturbateur Endocrinien]],"*X*"), 20, TRUE, "")</f>
        <v/>
      </c>
      <c r="AG32" s="93" t="str" cm="1">
        <f t="array" ref="AG32">_xlfn.IFS(COUNTIF(Table14623[[#This Row],[Phrases H]],"*H350*"), 20, TRUE, "")</f>
        <v/>
      </c>
      <c r="AH32" s="93" t="str" cm="1">
        <f t="array" ref="AH32">_xlfn.IFS(COUNTIF(Table14623[[#This Row],[Phrases H]],"*H360*"), 20, TRUE, "")</f>
        <v/>
      </c>
      <c r="AI32" s="93" t="str" cm="1">
        <f t="array" ref="AI32">_xlfn.IFS(COUNTIF(Table14623[[#This Row],[Phrases H]],"*H340*"), 20, TRUE, "")</f>
        <v/>
      </c>
      <c r="AJ32" s="93" t="str" cm="1">
        <f t="array" ref="AJ32">_xlfn.IFS(COUNTIF(Table14623[[#This Row],[Phrases H]],"*H351*"), 10, TRUE, "")</f>
        <v/>
      </c>
      <c r="AK32" s="93" t="str" cm="1">
        <f t="array" ref="AK32">_xlfn.IFS(COUNTIF(Table14623[[#This Row],[Phrases H]],"*H361*"), 10, TRUE, "")</f>
        <v/>
      </c>
      <c r="AL32" s="93" t="str" cm="1">
        <f t="array" ref="AL32">_xlfn.IFS(COUNTIF(Table14623[[#This Row],[Phrases H]],"*H362*"), 10, TRUE, "")</f>
        <v/>
      </c>
      <c r="AM32" s="93" t="str" cm="1">
        <f t="array" ref="AM32">_xlfn.IFS(COUNTIF(Table14623[[#This Row],[Phrases H]],"*H341*"), 10, TRUE, "")</f>
        <v/>
      </c>
      <c r="AN32" s="93" t="str" cm="1">
        <f t="array" ref="AN32">_xlfn.IFS(COUNTIF(Table14623[[#This Row],[Phrases H]],"*H372*"), 10, TRUE, "")</f>
        <v/>
      </c>
      <c r="AO32" s="93" cm="1">
        <f t="array" ref="AO32">_xlfn.IFS(COUNTIF(Table14623[[#This Row],[Phrases H]],"*H410*"), 10, TRUE, "")</f>
        <v>10</v>
      </c>
      <c r="AP32" s="93" t="str" cm="1">
        <f t="array" ref="AP32">_xlfn.IFS(COUNTIF(Table14623[[#This Row],[Phrases H]],"*H373*"), 5, TRUE, "")</f>
        <v/>
      </c>
      <c r="AQ32" s="93" t="str" cm="1">
        <f t="array" ref="AQ32">_xlfn.IFS(COUNTIF(Table14623[[#This Row],[Phrases H]],"*H411*"), 5, TRUE, "")</f>
        <v/>
      </c>
      <c r="AR32" s="94">
        <f t="shared" si="50"/>
        <v>30</v>
      </c>
      <c r="AS32" s="95"/>
      <c r="AT32" s="144" t="s">
        <v>31</v>
      </c>
      <c r="AU32" s="97" t="s">
        <v>337</v>
      </c>
      <c r="AV32" s="98">
        <f t="shared" si="51"/>
        <v>0</v>
      </c>
      <c r="AW32" s="99" t="str">
        <f t="shared" si="52"/>
        <v>N/A</v>
      </c>
      <c r="AX32" s="95"/>
      <c r="AY32" s="100">
        <f t="shared" si="37"/>
        <v>30</v>
      </c>
      <c r="AZ32" s="17"/>
      <c r="BA32" s="144">
        <v>0.83099999999999996</v>
      </c>
      <c r="BB32" s="101">
        <f t="shared" si="28"/>
        <v>20</v>
      </c>
      <c r="BC32" s="98" t="str">
        <f t="shared" si="29"/>
        <v>Peu mobile</v>
      </c>
      <c r="BD32" s="101">
        <v>4.3899999999999997</v>
      </c>
      <c r="BE32" s="98" t="str">
        <f t="shared" si="38"/>
        <v>Non mobile</v>
      </c>
      <c r="BF32" s="101">
        <v>250.3</v>
      </c>
      <c r="BG32" s="101">
        <v>2</v>
      </c>
      <c r="BH32" s="101">
        <v>71.48</v>
      </c>
      <c r="BI32" s="98" t="str">
        <f t="shared" si="46"/>
        <v>Non volatil</v>
      </c>
      <c r="BJ32" s="102" t="s">
        <v>31</v>
      </c>
      <c r="BK32" s="103" t="s">
        <v>343</v>
      </c>
      <c r="BL32" s="17"/>
      <c r="BM32" s="104" t="str">
        <f t="shared" si="39"/>
        <v>30, N/A (0), Peu mobile (solubilité), Non mobile (log Koc), Non volatil, N/A,EUROFINS, SERVACO</v>
      </c>
      <c r="BN32" s="17"/>
      <c r="BO32" s="17"/>
      <c r="BP32" s="17"/>
      <c r="BQ32" s="17"/>
      <c r="BR32" s="17"/>
      <c r="BS32" s="17"/>
      <c r="BT32" s="30">
        <v>30</v>
      </c>
      <c r="BU32" s="31" t="s">
        <v>31</v>
      </c>
      <c r="BV32" s="31" t="s">
        <v>1078</v>
      </c>
      <c r="BW32" s="31" t="s">
        <v>1080</v>
      </c>
      <c r="BX32" s="31" t="s">
        <v>1081</v>
      </c>
      <c r="BY32" s="31" t="s">
        <v>31</v>
      </c>
      <c r="BZ32" s="32" t="s">
        <v>343</v>
      </c>
      <c r="CA32" s="17"/>
      <c r="CB32" s="105" t="s">
        <v>1258</v>
      </c>
      <c r="CC32" s="106">
        <v>1</v>
      </c>
      <c r="CD32" s="17"/>
      <c r="CE32" s="107">
        <f t="shared" si="8"/>
        <v>33</v>
      </c>
      <c r="CF32" s="108">
        <f t="shared" si="47"/>
        <v>0.41772151898734178</v>
      </c>
      <c r="CG32" s="17"/>
      <c r="CH32" s="110" t="str">
        <f t="shared" si="48"/>
        <v>Catégorie 3</v>
      </c>
      <c r="CI32" s="111" t="str">
        <f t="shared" si="49"/>
        <v/>
      </c>
      <c r="CJ32" s="112" t="str">
        <f t="shared" si="12"/>
        <v/>
      </c>
      <c r="CK32" s="112" t="str">
        <f t="shared" si="13"/>
        <v/>
      </c>
      <c r="CL32" s="113" t="str">
        <f t="shared" si="14"/>
        <v/>
      </c>
      <c r="CM32" s="113" t="str">
        <f t="shared" si="15"/>
        <v/>
      </c>
      <c r="CN32" s="114" t="str">
        <f t="shared" si="16"/>
        <v>Top 75%</v>
      </c>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23"/>
    </row>
    <row r="33" spans="1:121" s="19" customFormat="1" ht="30" customHeight="1" x14ac:dyDescent="0.35">
      <c r="A33" s="4" t="s">
        <v>452</v>
      </c>
      <c r="B33" s="10" t="s">
        <v>464</v>
      </c>
      <c r="C33" s="10"/>
      <c r="D33" s="10" t="s">
        <v>465</v>
      </c>
      <c r="E33" s="10" t="s">
        <v>466</v>
      </c>
      <c r="F33" s="10" t="s">
        <v>467</v>
      </c>
      <c r="G33" s="10" t="s">
        <v>468</v>
      </c>
      <c r="H33" s="4" t="s">
        <v>31</v>
      </c>
      <c r="I33" s="4" t="s">
        <v>31</v>
      </c>
      <c r="J33" s="10" t="s">
        <v>31</v>
      </c>
      <c r="K33" s="11" t="s">
        <v>30</v>
      </c>
      <c r="L33" s="11" t="s">
        <v>30</v>
      </c>
      <c r="M33" s="11"/>
      <c r="N33" s="11"/>
      <c r="O33" s="11" t="s">
        <v>30</v>
      </c>
      <c r="P33" s="11"/>
      <c r="Q33" s="11" t="s">
        <v>30</v>
      </c>
      <c r="R33" s="11" t="s">
        <v>31</v>
      </c>
      <c r="S33" s="11"/>
      <c r="T33" s="10" t="s">
        <v>514</v>
      </c>
      <c r="U33" s="10" t="s">
        <v>52</v>
      </c>
      <c r="V33" s="13" t="s">
        <v>527</v>
      </c>
      <c r="W33" s="10" t="s">
        <v>539</v>
      </c>
      <c r="X33" s="10" t="s">
        <v>551</v>
      </c>
      <c r="Y33" s="14">
        <v>5.47</v>
      </c>
      <c r="Z33" s="4"/>
      <c r="AA33" s="14">
        <v>4.0442</v>
      </c>
      <c r="AB33" s="16" t="s">
        <v>564</v>
      </c>
      <c r="AC33" s="10" t="s">
        <v>576</v>
      </c>
      <c r="AD33" s="10"/>
      <c r="AE33" s="92" cm="1">
        <f t="array" ref="AE33">_xlfn.IFS(COUNTIF(Table14623[[#This Row],[PBT/ vPvB]],"*X*"), 20, TRUE, "")</f>
        <v>20</v>
      </c>
      <c r="AF33" s="93" t="str" cm="1">
        <f t="array" ref="AF33">_xlfn.IFS(COUNTIF(Table14623[[#This Row],[Perturbateur Endocrinien]],"*X*"), 20, TRUE, "")</f>
        <v/>
      </c>
      <c r="AG33" s="93" cm="1">
        <f t="array" ref="AG33">_xlfn.IFS(COUNTIF(Table14623[[#This Row],[Phrases H]],"*H350*"), 20, TRUE, "")</f>
        <v>20</v>
      </c>
      <c r="AH33" s="93" t="str" cm="1">
        <f t="array" ref="AH33">_xlfn.IFS(COUNTIF(Table14623[[#This Row],[Phrases H]],"*H360*"), 20, TRUE, "")</f>
        <v/>
      </c>
      <c r="AI33" s="93" t="str" cm="1">
        <f t="array" ref="AI33">_xlfn.IFS(COUNTIF(Table14623[[#This Row],[Phrases H]],"*H340*"), 20, TRUE, "")</f>
        <v/>
      </c>
      <c r="AJ33" s="93" t="str" cm="1">
        <f t="array" ref="AJ33">_xlfn.IFS(COUNTIF(Table14623[[#This Row],[Phrases H]],"*H351*"), 10, TRUE, "")</f>
        <v/>
      </c>
      <c r="AK33" s="93" t="str" cm="1">
        <f t="array" ref="AK33">_xlfn.IFS(COUNTIF(Table14623[[#This Row],[Phrases H]],"*H361*"), 10, TRUE, "")</f>
        <v/>
      </c>
      <c r="AL33" s="93" t="str" cm="1">
        <f t="array" ref="AL33">_xlfn.IFS(COUNTIF(Table14623[[#This Row],[Phrases H]],"*H362*"), 10, TRUE, "")</f>
        <v/>
      </c>
      <c r="AM33" s="93" t="str" cm="1">
        <f t="array" ref="AM33">_xlfn.IFS(COUNTIF(Table14623[[#This Row],[Phrases H]],"*H341*"), 10, TRUE, "")</f>
        <v/>
      </c>
      <c r="AN33" s="93" cm="1">
        <f t="array" ref="AN33">_xlfn.IFS(COUNTIF(Table14623[[#This Row],[Phrases H]],"*H372*"), 10, TRUE, "")</f>
        <v>10</v>
      </c>
      <c r="AO33" s="93" cm="1">
        <f t="array" ref="AO33">_xlfn.IFS(COUNTIF(Table14623[[#This Row],[Phrases H]],"*H410*"), 10, TRUE, "")</f>
        <v>10</v>
      </c>
      <c r="AP33" s="93" t="str" cm="1">
        <f t="array" ref="AP33">_xlfn.IFS(COUNTIF(Table14623[[#This Row],[Phrases H]],"*H373*"), 5, TRUE, "")</f>
        <v/>
      </c>
      <c r="AQ33" s="93" t="str" cm="1">
        <f t="array" ref="AQ33">_xlfn.IFS(COUNTIF(Table14623[[#This Row],[Phrases H]],"*H411*"), 5, TRUE, "")</f>
        <v/>
      </c>
      <c r="AR33" s="94">
        <f t="shared" si="50"/>
        <v>60</v>
      </c>
      <c r="AS33" s="95"/>
      <c r="AT33" s="144" t="s">
        <v>31</v>
      </c>
      <c r="AU33" s="97" t="s">
        <v>337</v>
      </c>
      <c r="AV33" s="98">
        <f t="shared" si="51"/>
        <v>0</v>
      </c>
      <c r="AW33" s="99" t="str">
        <f t="shared" si="52"/>
        <v>N/A</v>
      </c>
      <c r="AX33" s="95"/>
      <c r="AY33" s="100">
        <f t="shared" si="37"/>
        <v>60</v>
      </c>
      <c r="AZ33" s="17"/>
      <c r="BA33" s="144">
        <v>9.2099999999999994E-3</v>
      </c>
      <c r="BB33" s="101">
        <f t="shared" si="28"/>
        <v>10</v>
      </c>
      <c r="BC33" s="98" t="str">
        <f t="shared" si="29"/>
        <v>Très peu mobile</v>
      </c>
      <c r="BD33" s="101">
        <v>4.0442</v>
      </c>
      <c r="BE33" s="98" t="str">
        <f t="shared" si="38"/>
        <v>Non mobile</v>
      </c>
      <c r="BF33" s="101">
        <v>284.8</v>
      </c>
      <c r="BG33" s="101">
        <v>1E-3</v>
      </c>
      <c r="BH33" s="101">
        <v>58.29</v>
      </c>
      <c r="BI33" s="98" t="str">
        <f t="shared" si="46"/>
        <v>Non volatil</v>
      </c>
      <c r="BJ33" s="102" t="s">
        <v>31</v>
      </c>
      <c r="BK33" s="103" t="s">
        <v>343</v>
      </c>
      <c r="BL33" s="17"/>
      <c r="BM33" s="104" t="str">
        <f t="shared" si="39"/>
        <v>60, N/A (0), Très peu mobile (solubilité), Non mobile (log Koc), Non volatil, N/A,EUROFINS, SERVACO</v>
      </c>
      <c r="BN33" s="17"/>
      <c r="BO33" s="17"/>
      <c r="BP33" s="17"/>
      <c r="BQ33" s="17"/>
      <c r="BR33" s="17"/>
      <c r="BS33" s="17"/>
      <c r="BT33" s="30">
        <v>60</v>
      </c>
      <c r="BU33" s="31" t="s">
        <v>31</v>
      </c>
      <c r="BV33" s="31" t="s">
        <v>1077</v>
      </c>
      <c r="BW33" s="31" t="s">
        <v>1080</v>
      </c>
      <c r="BX33" s="31" t="s">
        <v>1081</v>
      </c>
      <c r="BY33" s="31" t="s">
        <v>31</v>
      </c>
      <c r="BZ33" s="32" t="s">
        <v>343</v>
      </c>
      <c r="CA33" s="17"/>
      <c r="CB33" s="105" t="s">
        <v>1260</v>
      </c>
      <c r="CC33" s="106">
        <v>2</v>
      </c>
      <c r="CD33" s="17"/>
      <c r="CE33" s="107">
        <f t="shared" si="8"/>
        <v>66</v>
      </c>
      <c r="CF33" s="108">
        <f t="shared" si="47"/>
        <v>0.83544303797468356</v>
      </c>
      <c r="CG33" s="17"/>
      <c r="CH33" s="110" t="str">
        <f t="shared" si="48"/>
        <v>Catégorie 5</v>
      </c>
      <c r="CI33" s="111" t="str">
        <f t="shared" si="49"/>
        <v/>
      </c>
      <c r="CJ33" s="112" t="str">
        <f t="shared" si="12"/>
        <v/>
      </c>
      <c r="CK33" s="112" t="str">
        <f t="shared" si="13"/>
        <v/>
      </c>
      <c r="CL33" s="113" t="str">
        <f t="shared" si="14"/>
        <v>Top 25%</v>
      </c>
      <c r="CM33" s="113" t="str">
        <f t="shared" si="15"/>
        <v>Top 50%</v>
      </c>
      <c r="CN33" s="114" t="str">
        <f t="shared" si="16"/>
        <v>Top 75%</v>
      </c>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row>
    <row r="34" spans="1:121" s="19" customFormat="1" ht="30" customHeight="1" x14ac:dyDescent="0.35">
      <c r="A34" s="4" t="s">
        <v>452</v>
      </c>
      <c r="B34" s="10" t="s">
        <v>469</v>
      </c>
      <c r="C34" s="10" t="s">
        <v>470</v>
      </c>
      <c r="D34" s="10" t="s">
        <v>471</v>
      </c>
      <c r="E34" s="10" t="s">
        <v>472</v>
      </c>
      <c r="F34" s="10" t="s">
        <v>473</v>
      </c>
      <c r="G34" s="10" t="s">
        <v>474</v>
      </c>
      <c r="H34" s="4" t="s">
        <v>31</v>
      </c>
      <c r="I34" s="4" t="s">
        <v>31</v>
      </c>
      <c r="J34" s="10" t="s">
        <v>515</v>
      </c>
      <c r="K34" s="11"/>
      <c r="L34" s="11"/>
      <c r="M34" s="11"/>
      <c r="N34" s="11"/>
      <c r="O34" s="11" t="s">
        <v>30</v>
      </c>
      <c r="P34" s="11"/>
      <c r="Q34" s="11"/>
      <c r="R34" s="11" t="s">
        <v>1275</v>
      </c>
      <c r="S34" s="11"/>
      <c r="T34" s="10" t="s">
        <v>516</v>
      </c>
      <c r="U34" s="10" t="s">
        <v>40</v>
      </c>
      <c r="V34" s="13" t="s">
        <v>528</v>
      </c>
      <c r="W34" s="13" t="s">
        <v>540</v>
      </c>
      <c r="X34" s="13" t="s">
        <v>552</v>
      </c>
      <c r="Y34" s="14">
        <v>2.84</v>
      </c>
      <c r="Z34" s="4"/>
      <c r="AA34" s="14">
        <v>2.2000000000000002</v>
      </c>
      <c r="AB34" s="16" t="s">
        <v>565</v>
      </c>
      <c r="AC34" s="10" t="s">
        <v>577</v>
      </c>
      <c r="AD34" s="10"/>
      <c r="AE34" s="92" t="str" cm="1">
        <f t="array" ref="AE34">_xlfn.IFS(COUNTIF(Table14623[[#This Row],[PBT/ vPvB]],"*X*"), 20, TRUE, "")</f>
        <v/>
      </c>
      <c r="AF34" s="93" t="str" cm="1">
        <f t="array" ref="AF34">_xlfn.IFS(COUNTIF(Table14623[[#This Row],[Perturbateur Endocrinien]],"*X*"), 20, TRUE, "")</f>
        <v/>
      </c>
      <c r="AG34" s="93" t="str" cm="1">
        <f t="array" ref="AG34">_xlfn.IFS(COUNTIF(Table14623[[#This Row],[Phrases H]],"*H350*"), 20, TRUE, "")</f>
        <v/>
      </c>
      <c r="AH34" s="93" t="str" cm="1">
        <f t="array" ref="AH34">_xlfn.IFS(COUNTIF(Table14623[[#This Row],[Phrases H]],"*H360*"), 20, TRUE, "")</f>
        <v/>
      </c>
      <c r="AI34" s="93" t="str" cm="1">
        <f t="array" ref="AI34">_xlfn.IFS(COUNTIF(Table14623[[#This Row],[Phrases H]],"*H340*"), 20, TRUE, "")</f>
        <v/>
      </c>
      <c r="AJ34" s="93" t="str" cm="1">
        <f t="array" ref="AJ34">_xlfn.IFS(COUNTIF(Table14623[[#This Row],[Phrases H]],"*H351*"), 10, TRUE, "")</f>
        <v/>
      </c>
      <c r="AK34" s="93" t="str" cm="1">
        <f t="array" ref="AK34">_xlfn.IFS(COUNTIF(Table14623[[#This Row],[Phrases H]],"*H361*"), 10, TRUE, "")</f>
        <v/>
      </c>
      <c r="AL34" s="93" t="str" cm="1">
        <f t="array" ref="AL34">_xlfn.IFS(COUNTIF(Table14623[[#This Row],[Phrases H]],"*H362*"), 10, TRUE, "")</f>
        <v/>
      </c>
      <c r="AM34" s="93" t="str" cm="1">
        <f t="array" ref="AM34">_xlfn.IFS(COUNTIF(Table14623[[#This Row],[Phrases H]],"*H341*"), 10, TRUE, "")</f>
        <v/>
      </c>
      <c r="AN34" s="93" t="str" cm="1">
        <f t="array" ref="AN34">_xlfn.IFS(COUNTIF(Table14623[[#This Row],[Phrases H]],"*H372*"), 10, TRUE, "")</f>
        <v/>
      </c>
      <c r="AO34" s="93" t="str" cm="1">
        <f t="array" ref="AO34">_xlfn.IFS(COUNTIF(Table14623[[#This Row],[Phrases H]],"*H410*"), 10, TRUE, "")</f>
        <v/>
      </c>
      <c r="AP34" s="93" t="str" cm="1">
        <f t="array" ref="AP34">_xlfn.IFS(COUNTIF(Table14623[[#This Row],[Phrases H]],"*H373*"), 5, TRUE, "")</f>
        <v/>
      </c>
      <c r="AQ34" s="93" cm="1">
        <f t="array" ref="AQ34">_xlfn.IFS(COUNTIF(Table14623[[#This Row],[Phrases H]],"*H411*"), 5, TRUE, "")</f>
        <v>5</v>
      </c>
      <c r="AR34" s="94">
        <f t="shared" si="50"/>
        <v>5</v>
      </c>
      <c r="AS34" s="95"/>
      <c r="AT34" s="144">
        <v>100000</v>
      </c>
      <c r="AU34" s="97" t="s">
        <v>337</v>
      </c>
      <c r="AV34" s="98">
        <f t="shared" si="51"/>
        <v>25</v>
      </c>
      <c r="AW34" s="99" t="str">
        <f t="shared" si="52"/>
        <v>Production très élevée</v>
      </c>
      <c r="AX34" s="95"/>
      <c r="AY34" s="100">
        <f t="shared" si="37"/>
        <v>30</v>
      </c>
      <c r="AZ34" s="17"/>
      <c r="BA34" s="144">
        <v>499</v>
      </c>
      <c r="BB34" s="101">
        <f t="shared" si="28"/>
        <v>30</v>
      </c>
      <c r="BC34" s="98" t="str">
        <f t="shared" si="29"/>
        <v>Moyennement mobile</v>
      </c>
      <c r="BD34" s="101">
        <v>2.2000000000000002</v>
      </c>
      <c r="BE34" s="98" t="str">
        <f t="shared" si="38"/>
        <v>Mobile</v>
      </c>
      <c r="BF34" s="101">
        <v>112.557</v>
      </c>
      <c r="BG34" s="101">
        <v>15999</v>
      </c>
      <c r="BH34" s="101">
        <v>247</v>
      </c>
      <c r="BI34" s="98" t="str">
        <f>IF(OR(BF34="N/A",BG34="N/A",BH34="N/A"),"N/A",IF(AND(BF34&gt;200,BG34&gt;67,BH34&gt;0.5),"Volatile","Non volatil"))</f>
        <v>Non volatil</v>
      </c>
      <c r="BJ34" s="102" t="s">
        <v>1275</v>
      </c>
      <c r="BK34" s="103" t="s">
        <v>343</v>
      </c>
      <c r="BL34" s="17"/>
      <c r="BM34" s="104" t="str">
        <f t="shared" si="39"/>
        <v>5, Production très élevée (25), Moyennement mobile (solubilité), Mobile (log Koc), Non volatil, non biodégradable,EUROFINS, SERVACO</v>
      </c>
      <c r="BN34" s="17"/>
      <c r="BO34" s="17"/>
      <c r="BP34" s="17"/>
      <c r="BQ34" s="17"/>
      <c r="BR34" s="17"/>
      <c r="BS34" s="17"/>
      <c r="BT34" s="30">
        <v>5</v>
      </c>
      <c r="BU34" s="31" t="s">
        <v>1072</v>
      </c>
      <c r="BV34" s="31" t="s">
        <v>1076</v>
      </c>
      <c r="BW34" s="31" t="s">
        <v>1071</v>
      </c>
      <c r="BX34" s="31" t="s">
        <v>1081</v>
      </c>
      <c r="BY34" s="31" t="s">
        <v>1275</v>
      </c>
      <c r="BZ34" s="32" t="s">
        <v>343</v>
      </c>
      <c r="CA34" s="17"/>
      <c r="CB34" s="105" t="s">
        <v>1258</v>
      </c>
      <c r="CC34" s="106">
        <v>1</v>
      </c>
      <c r="CD34" s="17"/>
      <c r="CE34" s="107">
        <f t="shared" si="8"/>
        <v>24.666666666666668</v>
      </c>
      <c r="CF34" s="108">
        <f t="shared" si="47"/>
        <v>0.31223628691983124</v>
      </c>
      <c r="CG34" s="17"/>
      <c r="CH34" s="110" t="str">
        <f t="shared" si="48"/>
        <v>Catégorie 2</v>
      </c>
      <c r="CI34" s="111" t="str">
        <f t="shared" si="49"/>
        <v/>
      </c>
      <c r="CJ34" s="112" t="str">
        <f t="shared" si="12"/>
        <v/>
      </c>
      <c r="CK34" s="112" t="str">
        <f t="shared" si="13"/>
        <v/>
      </c>
      <c r="CL34" s="113" t="str">
        <f t="shared" si="14"/>
        <v/>
      </c>
      <c r="CM34" s="113" t="str">
        <f t="shared" si="15"/>
        <v/>
      </c>
      <c r="CN34" s="114" t="str">
        <f t="shared" si="16"/>
        <v>Top 75%</v>
      </c>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23"/>
    </row>
    <row r="35" spans="1:121" s="19" customFormat="1" ht="30" customHeight="1" x14ac:dyDescent="0.35">
      <c r="A35" s="4" t="s">
        <v>452</v>
      </c>
      <c r="B35" s="10" t="s">
        <v>475</v>
      </c>
      <c r="C35" s="10" t="s">
        <v>476</v>
      </c>
      <c r="D35" s="10" t="s">
        <v>477</v>
      </c>
      <c r="E35" s="10" t="s">
        <v>478</v>
      </c>
      <c r="F35" s="10" t="s">
        <v>457</v>
      </c>
      <c r="G35" s="10" t="s">
        <v>479</v>
      </c>
      <c r="H35" s="4" t="s">
        <v>31</v>
      </c>
      <c r="I35" s="4" t="s">
        <v>31</v>
      </c>
      <c r="J35" s="10" t="s">
        <v>517</v>
      </c>
      <c r="K35" s="11"/>
      <c r="L35" s="11"/>
      <c r="M35" s="11"/>
      <c r="N35" s="11"/>
      <c r="O35" s="11" t="s">
        <v>30</v>
      </c>
      <c r="P35" s="11"/>
      <c r="Q35" s="11"/>
      <c r="R35" s="11" t="s">
        <v>1275</v>
      </c>
      <c r="S35" s="11"/>
      <c r="T35" s="10" t="s">
        <v>518</v>
      </c>
      <c r="U35" s="10" t="s">
        <v>40</v>
      </c>
      <c r="V35" s="13" t="s">
        <v>529</v>
      </c>
      <c r="W35" s="13" t="s">
        <v>541</v>
      </c>
      <c r="X35" s="13" t="s">
        <v>553</v>
      </c>
      <c r="Y35" s="14">
        <v>3.43</v>
      </c>
      <c r="Z35" s="4"/>
      <c r="AA35" s="14">
        <v>2.58</v>
      </c>
      <c r="AB35" s="16" t="s">
        <v>566</v>
      </c>
      <c r="AC35" s="10" t="s">
        <v>578</v>
      </c>
      <c r="AD35" s="10"/>
      <c r="AE35" s="92" t="str" cm="1">
        <f t="array" ref="AE35">_xlfn.IFS(COUNTIF(Table14623[[#This Row],[PBT/ vPvB]],"*X*"), 20, TRUE, "")</f>
        <v/>
      </c>
      <c r="AF35" s="93" t="str" cm="1">
        <f t="array" ref="AF35">_xlfn.IFS(COUNTIF(Table14623[[#This Row],[Perturbateur Endocrinien]],"*X*"), 20, TRUE, "")</f>
        <v/>
      </c>
      <c r="AG35" s="93" t="str" cm="1">
        <f t="array" ref="AG35">_xlfn.IFS(COUNTIF(Table14623[[#This Row],[Phrases H]],"*H350*"), 20, TRUE, "")</f>
        <v/>
      </c>
      <c r="AH35" s="93" t="str" cm="1">
        <f t="array" ref="AH35">_xlfn.IFS(COUNTIF(Table14623[[#This Row],[Phrases H]],"*H360*"), 20, TRUE, "")</f>
        <v/>
      </c>
      <c r="AI35" s="93" t="str" cm="1">
        <f t="array" ref="AI35">_xlfn.IFS(COUNTIF(Table14623[[#This Row],[Phrases H]],"*H340*"), 20, TRUE, "")</f>
        <v/>
      </c>
      <c r="AJ35" s="93" t="str" cm="1">
        <f t="array" ref="AJ35">_xlfn.IFS(COUNTIF(Table14623[[#This Row],[Phrases H]],"*H351*"), 10, TRUE, "")</f>
        <v/>
      </c>
      <c r="AK35" s="93" t="str" cm="1">
        <f t="array" ref="AK35">_xlfn.IFS(COUNTIF(Table14623[[#This Row],[Phrases H]],"*H361*"), 10, TRUE, "")</f>
        <v/>
      </c>
      <c r="AL35" s="93" t="str" cm="1">
        <f t="array" ref="AL35">_xlfn.IFS(COUNTIF(Table14623[[#This Row],[Phrases H]],"*H362*"), 10, TRUE, "")</f>
        <v/>
      </c>
      <c r="AM35" s="93" t="str" cm="1">
        <f t="array" ref="AM35">_xlfn.IFS(COUNTIF(Table14623[[#This Row],[Phrases H]],"*H341*"), 10, TRUE, "")</f>
        <v/>
      </c>
      <c r="AN35" s="93" t="str" cm="1">
        <f t="array" ref="AN35">_xlfn.IFS(COUNTIF(Table14623[[#This Row],[Phrases H]],"*H372*"), 10, TRUE, "")</f>
        <v/>
      </c>
      <c r="AO35" s="93" cm="1">
        <f t="array" ref="AO35">_xlfn.IFS(COUNTIF(Table14623[[#This Row],[Phrases H]],"*H410*"), 10, TRUE, "")</f>
        <v>10</v>
      </c>
      <c r="AP35" s="93" t="str" cm="1">
        <f t="array" ref="AP35">_xlfn.IFS(COUNTIF(Table14623[[#This Row],[Phrases H]],"*H373*"), 5, TRUE, "")</f>
        <v/>
      </c>
      <c r="AQ35" s="93" t="str" cm="1">
        <f t="array" ref="AQ35">_xlfn.IFS(COUNTIF(Table14623[[#This Row],[Phrases H]],"*H411*"), 5, TRUE, "")</f>
        <v/>
      </c>
      <c r="AR35" s="94">
        <f t="shared" si="50"/>
        <v>10</v>
      </c>
      <c r="AS35" s="95"/>
      <c r="AT35" s="144">
        <v>100000</v>
      </c>
      <c r="AU35" s="97" t="s">
        <v>337</v>
      </c>
      <c r="AV35" s="98">
        <f t="shared" si="51"/>
        <v>25</v>
      </c>
      <c r="AW35" s="99" t="str">
        <f t="shared" si="52"/>
        <v>Production très élevée</v>
      </c>
      <c r="AX35" s="95"/>
      <c r="AY35" s="100">
        <f t="shared" si="37"/>
        <v>35</v>
      </c>
      <c r="AZ35" s="17"/>
      <c r="BA35" s="144">
        <v>156</v>
      </c>
      <c r="BB35" s="101">
        <f t="shared" si="28"/>
        <v>30</v>
      </c>
      <c r="BC35" s="98" t="str">
        <f t="shared" si="29"/>
        <v>Moyennement mobile</v>
      </c>
      <c r="BD35" s="101">
        <v>2.58</v>
      </c>
      <c r="BE35" s="98" t="str">
        <f t="shared" si="38"/>
        <v>Mobile</v>
      </c>
      <c r="BF35" s="101">
        <v>147.00200000000001</v>
      </c>
      <c r="BG35" s="101">
        <v>181</v>
      </c>
      <c r="BH35" s="101">
        <v>165</v>
      </c>
      <c r="BI35" s="98" t="str">
        <f t="shared" si="46"/>
        <v>Non volatil</v>
      </c>
      <c r="BJ35" s="102" t="s">
        <v>1275</v>
      </c>
      <c r="BK35" s="103" t="s">
        <v>343</v>
      </c>
      <c r="BL35" s="17"/>
      <c r="BM35" s="104" t="str">
        <f t="shared" si="39"/>
        <v>10, Production très élevée (25), Moyennement mobile (solubilité), Mobile (log Koc), Non volatil, non biodégradable,EUROFINS, SERVACO</v>
      </c>
      <c r="BN35" s="17"/>
      <c r="BO35" s="17"/>
      <c r="BP35" s="17"/>
      <c r="BQ35" s="17"/>
      <c r="BR35" s="17"/>
      <c r="BS35" s="17"/>
      <c r="BT35" s="30">
        <v>10</v>
      </c>
      <c r="BU35" s="31" t="s">
        <v>1072</v>
      </c>
      <c r="BV35" s="31" t="s">
        <v>1076</v>
      </c>
      <c r="BW35" s="31" t="s">
        <v>1071</v>
      </c>
      <c r="BX35" s="31" t="s">
        <v>1081</v>
      </c>
      <c r="BY35" s="31" t="s">
        <v>1275</v>
      </c>
      <c r="BZ35" s="32" t="s">
        <v>343</v>
      </c>
      <c r="CA35" s="17"/>
      <c r="CB35" s="145" t="s">
        <v>1259</v>
      </c>
      <c r="CC35" s="106">
        <v>2</v>
      </c>
      <c r="CD35" s="17"/>
      <c r="CE35" s="107">
        <f t="shared" si="8"/>
        <v>34.333333333333336</v>
      </c>
      <c r="CF35" s="108">
        <f t="shared" si="47"/>
        <v>0.43459915611814348</v>
      </c>
      <c r="CG35" s="17"/>
      <c r="CH35" s="110" t="str">
        <f t="shared" si="48"/>
        <v>Catégorie 3</v>
      </c>
      <c r="CI35" s="111" t="str">
        <f t="shared" si="49"/>
        <v/>
      </c>
      <c r="CJ35" s="112" t="str">
        <f t="shared" si="12"/>
        <v/>
      </c>
      <c r="CK35" s="112" t="str">
        <f t="shared" si="13"/>
        <v/>
      </c>
      <c r="CL35" s="113" t="str">
        <f t="shared" si="14"/>
        <v/>
      </c>
      <c r="CM35" s="113" t="str">
        <f t="shared" si="15"/>
        <v/>
      </c>
      <c r="CN35" s="114" t="str">
        <f t="shared" si="16"/>
        <v>Top 75%</v>
      </c>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row>
    <row r="36" spans="1:121" s="19" customFormat="1" ht="30" customHeight="1" x14ac:dyDescent="0.35">
      <c r="A36" s="4" t="s">
        <v>452</v>
      </c>
      <c r="B36" s="10" t="s">
        <v>480</v>
      </c>
      <c r="C36" s="10" t="s">
        <v>476</v>
      </c>
      <c r="D36" s="10" t="s">
        <v>481</v>
      </c>
      <c r="E36" s="10" t="s">
        <v>482</v>
      </c>
      <c r="F36" s="10" t="s">
        <v>457</v>
      </c>
      <c r="G36" s="10" t="s">
        <v>483</v>
      </c>
      <c r="H36" s="4" t="s">
        <v>31</v>
      </c>
      <c r="I36" s="4" t="s">
        <v>31</v>
      </c>
      <c r="J36" s="10" t="s">
        <v>29</v>
      </c>
      <c r="K36" s="11"/>
      <c r="L36" s="11"/>
      <c r="M36" s="11"/>
      <c r="N36" s="11"/>
      <c r="O36" s="11" t="s">
        <v>30</v>
      </c>
      <c r="P36" s="11"/>
      <c r="Q36" s="11"/>
      <c r="R36" s="11" t="s">
        <v>1275</v>
      </c>
      <c r="S36" s="11"/>
      <c r="T36" s="10" t="s">
        <v>519</v>
      </c>
      <c r="U36" s="10" t="s">
        <v>40</v>
      </c>
      <c r="V36" s="10" t="s">
        <v>530</v>
      </c>
      <c r="W36" s="10" t="s">
        <v>542</v>
      </c>
      <c r="X36" s="10" t="s">
        <v>554</v>
      </c>
      <c r="Y36" s="14" t="s">
        <v>561</v>
      </c>
      <c r="Z36" s="4"/>
      <c r="AA36" s="15">
        <f>LOG(375.3)</f>
        <v>2.5743785644130823</v>
      </c>
      <c r="AB36" s="10" t="s">
        <v>567</v>
      </c>
      <c r="AC36" s="10" t="s">
        <v>579</v>
      </c>
      <c r="AD36" s="10"/>
      <c r="AE36" s="92" t="str" cm="1">
        <f t="array" ref="AE36">_xlfn.IFS(COUNTIF(Table14623[[#This Row],[PBT/ vPvB]],"*X*"), 20, TRUE, "")</f>
        <v/>
      </c>
      <c r="AF36" s="93" t="str" cm="1">
        <f t="array" ref="AF36">_xlfn.IFS(COUNTIF(Table14623[[#This Row],[Perturbateur Endocrinien]],"*X*"), 20, TRUE, "")</f>
        <v/>
      </c>
      <c r="AG36" s="93" t="str" cm="1">
        <f t="array" ref="AG36">_xlfn.IFS(COUNTIF(Table14623[[#This Row],[Phrases H]],"*H350*"), 20, TRUE, "")</f>
        <v/>
      </c>
      <c r="AH36" s="93" t="str" cm="1">
        <f t="array" ref="AH36">_xlfn.IFS(COUNTIF(Table14623[[#This Row],[Phrases H]],"*H360*"), 20, TRUE, "")</f>
        <v/>
      </c>
      <c r="AI36" s="93" t="str" cm="1">
        <f t="array" ref="AI36">_xlfn.IFS(COUNTIF(Table14623[[#This Row],[Phrases H]],"*H340*"), 20, TRUE, "")</f>
        <v/>
      </c>
      <c r="AJ36" s="93" t="str" cm="1">
        <f t="array" ref="AJ36">_xlfn.IFS(COUNTIF(Table14623[[#This Row],[Phrases H]],"*H351*"), 10, TRUE, "")</f>
        <v/>
      </c>
      <c r="AK36" s="93" t="str" cm="1">
        <f t="array" ref="AK36">_xlfn.IFS(COUNTIF(Table14623[[#This Row],[Phrases H]],"*H361*"), 10, TRUE, "")</f>
        <v/>
      </c>
      <c r="AL36" s="93" t="str" cm="1">
        <f t="array" ref="AL36">_xlfn.IFS(COUNTIF(Table14623[[#This Row],[Phrases H]],"*H362*"), 10, TRUE, "")</f>
        <v/>
      </c>
      <c r="AM36" s="93" t="str" cm="1">
        <f t="array" ref="AM36">_xlfn.IFS(COUNTIF(Table14623[[#This Row],[Phrases H]],"*H341*"), 10, TRUE, "")</f>
        <v/>
      </c>
      <c r="AN36" s="93" t="str" cm="1">
        <f t="array" ref="AN36">_xlfn.IFS(COUNTIF(Table14623[[#This Row],[Phrases H]],"*H372*"), 10, TRUE, "")</f>
        <v/>
      </c>
      <c r="AO36" s="93" t="str" cm="1">
        <f t="array" ref="AO36">_xlfn.IFS(COUNTIF(Table14623[[#This Row],[Phrases H]],"*H410*"), 10, TRUE, "")</f>
        <v/>
      </c>
      <c r="AP36" s="93" t="str" cm="1">
        <f t="array" ref="AP36">_xlfn.IFS(COUNTIF(Table14623[[#This Row],[Phrases H]],"*H373*"), 5, TRUE, "")</f>
        <v/>
      </c>
      <c r="AQ36" s="93" cm="1">
        <f t="array" ref="AQ36">_xlfn.IFS(COUNTIF(Table14623[[#This Row],[Phrases H]],"*H411*"), 5, TRUE, "")</f>
        <v>5</v>
      </c>
      <c r="AR36" s="94">
        <f t="shared" si="50"/>
        <v>5</v>
      </c>
      <c r="AS36" s="95"/>
      <c r="AT36" s="144">
        <v>1000</v>
      </c>
      <c r="AU36" s="97" t="s">
        <v>337</v>
      </c>
      <c r="AV36" s="98">
        <f t="shared" si="51"/>
        <v>15</v>
      </c>
      <c r="AW36" s="99" t="str">
        <f t="shared" si="52"/>
        <v>Production modérée</v>
      </c>
      <c r="AX36" s="95"/>
      <c r="AY36" s="100">
        <f t="shared" si="37"/>
        <v>20</v>
      </c>
      <c r="AZ36" s="17"/>
      <c r="BA36" s="144">
        <v>120</v>
      </c>
      <c r="BB36" s="101">
        <f t="shared" si="28"/>
        <v>30</v>
      </c>
      <c r="BC36" s="98" t="str">
        <f t="shared" si="29"/>
        <v>Moyennement mobile</v>
      </c>
      <c r="BD36" s="101">
        <v>2.5743785644130823</v>
      </c>
      <c r="BE36" s="98" t="str">
        <f t="shared" si="38"/>
        <v>Mobile</v>
      </c>
      <c r="BF36" s="101">
        <v>147</v>
      </c>
      <c r="BG36" s="101">
        <v>286</v>
      </c>
      <c r="BH36" s="101">
        <v>311</v>
      </c>
      <c r="BI36" s="98" t="str">
        <f t="shared" si="46"/>
        <v>Non volatil</v>
      </c>
      <c r="BJ36" s="102" t="s">
        <v>1275</v>
      </c>
      <c r="BK36" s="103" t="s">
        <v>343</v>
      </c>
      <c r="BL36" s="17"/>
      <c r="BM36" s="104" t="str">
        <f t="shared" si="39"/>
        <v>5, Production modérée (15), Moyennement mobile (solubilité), Mobile (log Koc), Non volatil, non biodégradable,EUROFINS, SERVACO</v>
      </c>
      <c r="BN36" s="17"/>
      <c r="BO36" s="17"/>
      <c r="BP36" s="17"/>
      <c r="BQ36" s="17"/>
      <c r="BR36" s="17"/>
      <c r="BS36" s="17"/>
      <c r="BT36" s="30">
        <v>5</v>
      </c>
      <c r="BU36" s="31" t="s">
        <v>1074</v>
      </c>
      <c r="BV36" s="31" t="s">
        <v>1076</v>
      </c>
      <c r="BW36" s="31" t="s">
        <v>1071</v>
      </c>
      <c r="BX36" s="31" t="s">
        <v>1081</v>
      </c>
      <c r="BY36" s="31" t="s">
        <v>1275</v>
      </c>
      <c r="BZ36" s="32" t="s">
        <v>343</v>
      </c>
      <c r="CA36" s="17"/>
      <c r="CB36" s="145" t="s">
        <v>1259</v>
      </c>
      <c r="CC36" s="106">
        <v>2</v>
      </c>
      <c r="CD36" s="17"/>
      <c r="CE36" s="107">
        <f t="shared" si="8"/>
        <v>23.666666666666668</v>
      </c>
      <c r="CF36" s="108">
        <f t="shared" si="47"/>
        <v>0.29957805907172996</v>
      </c>
      <c r="CG36" s="17"/>
      <c r="CH36" s="110" t="str">
        <f t="shared" si="48"/>
        <v>Catégorie 2</v>
      </c>
      <c r="CI36" s="111" t="str">
        <f t="shared" si="49"/>
        <v/>
      </c>
      <c r="CJ36" s="112" t="str">
        <f t="shared" si="12"/>
        <v/>
      </c>
      <c r="CK36" s="112" t="str">
        <f t="shared" si="13"/>
        <v/>
      </c>
      <c r="CL36" s="113" t="str">
        <f t="shared" si="14"/>
        <v/>
      </c>
      <c r="CM36" s="113" t="str">
        <f t="shared" si="15"/>
        <v/>
      </c>
      <c r="CN36" s="114" t="str">
        <f t="shared" si="16"/>
        <v>Top 75%</v>
      </c>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23"/>
    </row>
    <row r="37" spans="1:121" s="19" customFormat="1" ht="30" customHeight="1" x14ac:dyDescent="0.35">
      <c r="A37" s="4" t="s">
        <v>452</v>
      </c>
      <c r="B37" s="10" t="s">
        <v>484</v>
      </c>
      <c r="C37" s="10" t="s">
        <v>485</v>
      </c>
      <c r="D37" s="10" t="s">
        <v>486</v>
      </c>
      <c r="E37" s="10" t="s">
        <v>487</v>
      </c>
      <c r="F37" s="10" t="s">
        <v>488</v>
      </c>
      <c r="G37" s="10" t="s">
        <v>489</v>
      </c>
      <c r="H37" s="4" t="s">
        <v>31</v>
      </c>
      <c r="I37" s="4" t="s">
        <v>31</v>
      </c>
      <c r="J37" s="10" t="s">
        <v>31</v>
      </c>
      <c r="K37" s="11"/>
      <c r="L37" s="11"/>
      <c r="M37" s="11"/>
      <c r="N37" s="11"/>
      <c r="O37" s="11" t="s">
        <v>30</v>
      </c>
      <c r="P37" s="11"/>
      <c r="Q37" s="11"/>
      <c r="R37" s="11" t="s">
        <v>1275</v>
      </c>
      <c r="S37" s="11"/>
      <c r="T37" s="10" t="s">
        <v>520</v>
      </c>
      <c r="U37" s="10" t="s">
        <v>40</v>
      </c>
      <c r="V37" s="10" t="s">
        <v>531</v>
      </c>
      <c r="W37" s="10" t="s">
        <v>543</v>
      </c>
      <c r="X37" s="13" t="s">
        <v>555</v>
      </c>
      <c r="Y37" s="14">
        <v>4.05</v>
      </c>
      <c r="Z37" s="4"/>
      <c r="AA37" s="15">
        <v>3.3445814263802101</v>
      </c>
      <c r="AB37" s="14" t="s">
        <v>568</v>
      </c>
      <c r="AC37" s="10" t="s">
        <v>580</v>
      </c>
      <c r="AD37" s="10"/>
      <c r="AE37" s="92" t="str" cm="1">
        <f t="array" ref="AE37">_xlfn.IFS(COUNTIF(Table14623[[#This Row],[PBT/ vPvB]],"*X*"), 20, TRUE, "")</f>
        <v/>
      </c>
      <c r="AF37" s="93" t="str" cm="1">
        <f t="array" ref="AF37">_xlfn.IFS(COUNTIF(Table14623[[#This Row],[Perturbateur Endocrinien]],"*X*"), 20, TRUE, "")</f>
        <v/>
      </c>
      <c r="AG37" s="93" t="str" cm="1">
        <f t="array" ref="AG37">_xlfn.IFS(COUNTIF(Table14623[[#This Row],[Phrases H]],"*H350*"), 20, TRUE, "")</f>
        <v/>
      </c>
      <c r="AH37" s="93" t="str" cm="1">
        <f t="array" ref="AH37">_xlfn.IFS(COUNTIF(Table14623[[#This Row],[Phrases H]],"*H360*"), 20, TRUE, "")</f>
        <v/>
      </c>
      <c r="AI37" s="93" t="str" cm="1">
        <f t="array" ref="AI37">_xlfn.IFS(COUNTIF(Table14623[[#This Row],[Phrases H]],"*H340*"), 20, TRUE, "")</f>
        <v/>
      </c>
      <c r="AJ37" s="93" t="str" cm="1">
        <f t="array" ref="AJ37">_xlfn.IFS(COUNTIF(Table14623[[#This Row],[Phrases H]],"*H351*"), 10, TRUE, "")</f>
        <v/>
      </c>
      <c r="AK37" s="93" t="str" cm="1">
        <f t="array" ref="AK37">_xlfn.IFS(COUNTIF(Table14623[[#This Row],[Phrases H]],"*H361*"), 10, TRUE, "")</f>
        <v/>
      </c>
      <c r="AL37" s="93" t="str" cm="1">
        <f t="array" ref="AL37">_xlfn.IFS(COUNTIF(Table14623[[#This Row],[Phrases H]],"*H362*"), 10, TRUE, "")</f>
        <v/>
      </c>
      <c r="AM37" s="93" t="str" cm="1">
        <f t="array" ref="AM37">_xlfn.IFS(COUNTIF(Table14623[[#This Row],[Phrases H]],"*H341*"), 10, TRUE, "")</f>
        <v/>
      </c>
      <c r="AN37" s="93" t="str" cm="1">
        <f t="array" ref="AN37">_xlfn.IFS(COUNTIF(Table14623[[#This Row],[Phrases H]],"*H372*"), 10, TRUE, "")</f>
        <v/>
      </c>
      <c r="AO37" s="93" cm="1">
        <f t="array" ref="AO37">_xlfn.IFS(COUNTIF(Table14623[[#This Row],[Phrases H]],"*H410*"), 10, TRUE, "")</f>
        <v>10</v>
      </c>
      <c r="AP37" s="93" t="str" cm="1">
        <f t="array" ref="AP37">_xlfn.IFS(COUNTIF(Table14623[[#This Row],[Phrases H]],"*H373*"), 5, TRUE, "")</f>
        <v/>
      </c>
      <c r="AQ37" s="93" t="str" cm="1">
        <f t="array" ref="AQ37">_xlfn.IFS(COUNTIF(Table14623[[#This Row],[Phrases H]],"*H411*"), 5, TRUE, "")</f>
        <v/>
      </c>
      <c r="AR37" s="94">
        <f t="shared" si="50"/>
        <v>10</v>
      </c>
      <c r="AS37" s="95"/>
      <c r="AT37" s="144" t="s">
        <v>31</v>
      </c>
      <c r="AU37" s="97" t="s">
        <v>337</v>
      </c>
      <c r="AV37" s="98">
        <f t="shared" si="51"/>
        <v>0</v>
      </c>
      <c r="AW37" s="99" t="str">
        <f t="shared" si="52"/>
        <v>N/A</v>
      </c>
      <c r="AX37" s="95"/>
      <c r="AY37" s="100">
        <f t="shared" si="37"/>
        <v>10</v>
      </c>
      <c r="AZ37" s="17"/>
      <c r="BA37" s="144">
        <v>18</v>
      </c>
      <c r="BB37" s="101">
        <f t="shared" si="28"/>
        <v>30</v>
      </c>
      <c r="BC37" s="98" t="str">
        <f t="shared" si="29"/>
        <v>Moyennement mobile</v>
      </c>
      <c r="BD37" s="101">
        <v>3.3445814263802101</v>
      </c>
      <c r="BE37" s="98" t="str">
        <f t="shared" si="38"/>
        <v>Non mobile</v>
      </c>
      <c r="BF37" s="101">
        <v>181.4</v>
      </c>
      <c r="BG37" s="101">
        <v>28</v>
      </c>
      <c r="BH37" s="101">
        <v>72</v>
      </c>
      <c r="BI37" s="98" t="str">
        <f t="shared" si="46"/>
        <v>Non volatil</v>
      </c>
      <c r="BJ37" s="102" t="s">
        <v>1275</v>
      </c>
      <c r="BK37" s="103" t="s">
        <v>343</v>
      </c>
      <c r="BL37" s="17"/>
      <c r="BM37" s="104" t="str">
        <f t="shared" si="39"/>
        <v>10, N/A (0), Moyennement mobile (solubilité), Non mobile (log Koc), Non volatil, non biodégradable,EUROFINS, SERVACO</v>
      </c>
      <c r="BN37" s="17"/>
      <c r="BO37" s="17"/>
      <c r="BP37" s="17"/>
      <c r="BQ37" s="17"/>
      <c r="BR37" s="17"/>
      <c r="BS37" s="17"/>
      <c r="BT37" s="30">
        <v>10</v>
      </c>
      <c r="BU37" s="31" t="s">
        <v>31</v>
      </c>
      <c r="BV37" s="31" t="s">
        <v>1076</v>
      </c>
      <c r="BW37" s="31" t="s">
        <v>1080</v>
      </c>
      <c r="BX37" s="31" t="s">
        <v>1081</v>
      </c>
      <c r="BY37" s="31" t="s">
        <v>1275</v>
      </c>
      <c r="BZ37" s="32" t="s">
        <v>343</v>
      </c>
      <c r="CA37" s="17"/>
      <c r="CB37" s="105" t="s">
        <v>392</v>
      </c>
      <c r="CC37" s="106">
        <v>1</v>
      </c>
      <c r="CD37" s="17"/>
      <c r="CE37" s="107">
        <f t="shared" ref="CE37:CE68" si="53">(AR37/75)*70+(AV37/25)*15+(CC37/3)*15</f>
        <v>14.333333333333334</v>
      </c>
      <c r="CF37" s="108">
        <f t="shared" si="47"/>
        <v>0.18143459915611815</v>
      </c>
      <c r="CG37" s="17"/>
      <c r="CH37" s="110" t="str">
        <f t="shared" si="48"/>
        <v>Catégorie 1</v>
      </c>
      <c r="CI37" s="111" t="str">
        <f t="shared" si="49"/>
        <v/>
      </c>
      <c r="CJ37" s="112" t="str">
        <f t="shared" ref="CJ37:CJ68" si="54">IF(CE37&gt;=_xlfn.PERCENTILE.EXC($CE$5:$CE$27,0.95),"Top 5%","")</f>
        <v/>
      </c>
      <c r="CK37" s="112" t="str">
        <f t="shared" ref="CK37:CK68" si="55">IF(CE37&gt;=_xlfn.PERCENTILE.EXC($CE$5:$CE$27,0.9),"Top 10%","")</f>
        <v/>
      </c>
      <c r="CL37" s="113" t="str">
        <f t="shared" ref="CL37:CL68" si="56">IF(CE37&gt;=_xlfn.PERCENTILE.EXC($CE$5:$CE$27,0.75),"Top 25%","")</f>
        <v/>
      </c>
      <c r="CM37" s="113" t="str">
        <f t="shared" ref="CM37:CM68" si="57">IF(CE37&gt;=_xlfn.PERCENTILE.EXC($CE$5:$CE$27,0.5),"Top 50%","")</f>
        <v/>
      </c>
      <c r="CN37" s="114" t="str">
        <f t="shared" ref="CN37:CN68" si="58">IF(CE37&gt;=_xlfn.PERCENTILE.EXC($CE$5:$CE$27,0.25),"Top 75%","")</f>
        <v/>
      </c>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row>
    <row r="38" spans="1:121" s="19" customFormat="1" ht="30" customHeight="1" x14ac:dyDescent="0.35">
      <c r="A38" s="4" t="s">
        <v>452</v>
      </c>
      <c r="B38" s="10" t="s">
        <v>490</v>
      </c>
      <c r="C38" s="10" t="s">
        <v>485</v>
      </c>
      <c r="D38" s="10" t="s">
        <v>491</v>
      </c>
      <c r="E38" s="10" t="s">
        <v>492</v>
      </c>
      <c r="F38" s="10" t="s">
        <v>488</v>
      </c>
      <c r="G38" s="10" t="s">
        <v>493</v>
      </c>
      <c r="H38" s="4" t="s">
        <v>31</v>
      </c>
      <c r="I38" s="4" t="s">
        <v>31</v>
      </c>
      <c r="J38" s="10" t="s">
        <v>31</v>
      </c>
      <c r="K38" s="11"/>
      <c r="L38" s="11"/>
      <c r="M38" s="11"/>
      <c r="N38" s="11" t="s">
        <v>30</v>
      </c>
      <c r="O38" s="11" t="s">
        <v>30</v>
      </c>
      <c r="P38" s="11"/>
      <c r="Q38" s="11"/>
      <c r="R38" s="11" t="s">
        <v>1275</v>
      </c>
      <c r="S38" s="11"/>
      <c r="T38" s="10" t="s">
        <v>521</v>
      </c>
      <c r="U38" s="10" t="s">
        <v>40</v>
      </c>
      <c r="V38" s="13" t="s">
        <v>532</v>
      </c>
      <c r="W38" s="13" t="s">
        <v>544</v>
      </c>
      <c r="X38" s="13" t="s">
        <v>556</v>
      </c>
      <c r="Y38" s="14">
        <v>3.98</v>
      </c>
      <c r="Z38" s="4"/>
      <c r="AA38" s="15">
        <v>3.3151000000000002</v>
      </c>
      <c r="AB38" s="14" t="s">
        <v>569</v>
      </c>
      <c r="AC38" s="10" t="s">
        <v>581</v>
      </c>
      <c r="AD38" s="10"/>
      <c r="AE38" s="92" t="str" cm="1">
        <f t="array" ref="AE38">_xlfn.IFS(COUNTIF(Table14623[[#This Row],[PBT/ vPvB]],"*X*"), 20, TRUE, "")</f>
        <v/>
      </c>
      <c r="AF38" s="93" t="str" cm="1">
        <f t="array" ref="AF38">_xlfn.IFS(COUNTIF(Table14623[[#This Row],[Perturbateur Endocrinien]],"*X*"), 20, TRUE, "")</f>
        <v/>
      </c>
      <c r="AG38" s="93" t="str" cm="1">
        <f t="array" ref="AG38">_xlfn.IFS(COUNTIF(Table14623[[#This Row],[Phrases H]],"*H350*"), 20, TRUE, "")</f>
        <v/>
      </c>
      <c r="AH38" s="93" t="str" cm="1">
        <f t="array" ref="AH38">_xlfn.IFS(COUNTIF(Table14623[[#This Row],[Phrases H]],"*H360*"), 20, TRUE, "")</f>
        <v/>
      </c>
      <c r="AI38" s="93" t="str" cm="1">
        <f t="array" ref="AI38">_xlfn.IFS(COUNTIF(Table14623[[#This Row],[Phrases H]],"*H340*"), 20, TRUE, "")</f>
        <v/>
      </c>
      <c r="AJ38" s="93" t="str" cm="1">
        <f t="array" ref="AJ38">_xlfn.IFS(COUNTIF(Table14623[[#This Row],[Phrases H]],"*H351*"), 10, TRUE, "")</f>
        <v/>
      </c>
      <c r="AK38" s="93" t="str" cm="1">
        <f t="array" ref="AK38">_xlfn.IFS(COUNTIF(Table14623[[#This Row],[Phrases H]],"*H361*"), 10, TRUE, "")</f>
        <v/>
      </c>
      <c r="AL38" s="93" t="str" cm="1">
        <f t="array" ref="AL38">_xlfn.IFS(COUNTIF(Table14623[[#This Row],[Phrases H]],"*H362*"), 10, TRUE, "")</f>
        <v/>
      </c>
      <c r="AM38" s="93" t="str" cm="1">
        <f t="array" ref="AM38">_xlfn.IFS(COUNTIF(Table14623[[#This Row],[Phrases H]],"*H341*"), 10, TRUE, "")</f>
        <v/>
      </c>
      <c r="AN38" s="93" t="str" cm="1">
        <f t="array" ref="AN38">_xlfn.IFS(COUNTIF(Table14623[[#This Row],[Phrases H]],"*H372*"), 10, TRUE, "")</f>
        <v/>
      </c>
      <c r="AO38" s="93" cm="1">
        <f t="array" ref="AO38">_xlfn.IFS(COUNTIF(Table14623[[#This Row],[Phrases H]],"*H410*"), 10, TRUE, "")</f>
        <v>10</v>
      </c>
      <c r="AP38" s="93" t="str" cm="1">
        <f t="array" ref="AP38">_xlfn.IFS(COUNTIF(Table14623[[#This Row],[Phrases H]],"*H373*"), 5, TRUE, "")</f>
        <v/>
      </c>
      <c r="AQ38" s="93" t="str" cm="1">
        <f t="array" ref="AQ38">_xlfn.IFS(COUNTIF(Table14623[[#This Row],[Phrases H]],"*H411*"), 5, TRUE, "")</f>
        <v/>
      </c>
      <c r="AR38" s="94">
        <f t="shared" si="50"/>
        <v>10</v>
      </c>
      <c r="AS38" s="95"/>
      <c r="AT38" s="144" t="s">
        <v>31</v>
      </c>
      <c r="AU38" s="97" t="s">
        <v>337</v>
      </c>
      <c r="AV38" s="98">
        <f t="shared" si="51"/>
        <v>0</v>
      </c>
      <c r="AW38" s="99" t="str">
        <f t="shared" si="52"/>
        <v>N/A</v>
      </c>
      <c r="AX38" s="95"/>
      <c r="AY38" s="100">
        <f t="shared" si="37"/>
        <v>10</v>
      </c>
      <c r="AZ38" s="17"/>
      <c r="BA38" s="144">
        <v>29</v>
      </c>
      <c r="BB38" s="101">
        <f t="shared" ref="BB38:BB86" si="59">IF(BA38="N/A","N/A",IF(BA38&gt;=100000,50,(IF(BA38&gt;=1000,40,(IF(BA38&gt;=10,30,(IF(BA38&gt;0.1,20,(IF(BA38&lt;0.1,10,0))))))))))</f>
        <v>30</v>
      </c>
      <c r="BC38" s="98" t="str">
        <f t="shared" ref="BC38:BC86" si="60">IF(BB38="N/A","N/A",IF(BB38=50,"Très mobile",IF(BB38=40,"Mobile",IF(BB38=30,"Moyennement mobile",IF(BB38=20,"Peu mobile",IF(BB38=10,"Très peu mobile",""))))))</f>
        <v>Moyennement mobile</v>
      </c>
      <c r="BD38" s="101">
        <v>3.3151000000000002</v>
      </c>
      <c r="BE38" s="98" t="str">
        <f t="shared" si="38"/>
        <v>Non mobile</v>
      </c>
      <c r="BF38" s="101">
        <v>181.447</v>
      </c>
      <c r="BG38" s="101">
        <v>11.96</v>
      </c>
      <c r="BH38" s="101">
        <v>131</v>
      </c>
      <c r="BI38" s="98" t="str">
        <f t="shared" si="46"/>
        <v>Non volatil</v>
      </c>
      <c r="BJ38" s="102" t="s">
        <v>1275</v>
      </c>
      <c r="BK38" s="103" t="s">
        <v>343</v>
      </c>
      <c r="BL38" s="17"/>
      <c r="BM38" s="104" t="str">
        <f t="shared" si="39"/>
        <v>10, N/A (0), Moyennement mobile (solubilité), Non mobile (log Koc), Non volatil, non biodégradable,EUROFINS, SERVACO</v>
      </c>
      <c r="BN38" s="17"/>
      <c r="BO38" s="17"/>
      <c r="BP38" s="17"/>
      <c r="BQ38" s="17"/>
      <c r="BR38" s="17"/>
      <c r="BS38" s="17"/>
      <c r="BT38" s="30">
        <v>10</v>
      </c>
      <c r="BU38" s="31" t="s">
        <v>31</v>
      </c>
      <c r="BV38" s="31" t="s">
        <v>1076</v>
      </c>
      <c r="BW38" s="31" t="s">
        <v>1080</v>
      </c>
      <c r="BX38" s="31" t="s">
        <v>1081</v>
      </c>
      <c r="BY38" s="31" t="s">
        <v>1275</v>
      </c>
      <c r="BZ38" s="32" t="s">
        <v>343</v>
      </c>
      <c r="CA38" s="17"/>
      <c r="CB38" s="105" t="s">
        <v>392</v>
      </c>
      <c r="CC38" s="106">
        <v>1</v>
      </c>
      <c r="CD38" s="17"/>
      <c r="CE38" s="107">
        <f t="shared" si="53"/>
        <v>14.333333333333334</v>
      </c>
      <c r="CF38" s="108">
        <f t="shared" si="47"/>
        <v>0.18143459915611815</v>
      </c>
      <c r="CG38" s="17"/>
      <c r="CH38" s="110" t="str">
        <f t="shared" si="48"/>
        <v>Catégorie 1</v>
      </c>
      <c r="CI38" s="111" t="str">
        <f t="shared" si="49"/>
        <v/>
      </c>
      <c r="CJ38" s="112" t="str">
        <f t="shared" si="54"/>
        <v/>
      </c>
      <c r="CK38" s="112" t="str">
        <f t="shared" si="55"/>
        <v/>
      </c>
      <c r="CL38" s="113" t="str">
        <f t="shared" si="56"/>
        <v/>
      </c>
      <c r="CM38" s="113" t="str">
        <f t="shared" si="57"/>
        <v/>
      </c>
      <c r="CN38" s="114" t="str">
        <f t="shared" si="58"/>
        <v/>
      </c>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23"/>
    </row>
    <row r="39" spans="1:121" s="19" customFormat="1" ht="30" customHeight="1" x14ac:dyDescent="0.35">
      <c r="A39" s="4" t="s">
        <v>452</v>
      </c>
      <c r="B39" s="10" t="s">
        <v>494</v>
      </c>
      <c r="C39" s="10" t="s">
        <v>485</v>
      </c>
      <c r="D39" s="10" t="s">
        <v>495</v>
      </c>
      <c r="E39" s="10" t="s">
        <v>496</v>
      </c>
      <c r="F39" s="10" t="s">
        <v>488</v>
      </c>
      <c r="G39" s="10" t="s">
        <v>497</v>
      </c>
      <c r="H39" s="4" t="s">
        <v>31</v>
      </c>
      <c r="I39" s="4" t="s">
        <v>31</v>
      </c>
      <c r="J39" s="10" t="s">
        <v>53</v>
      </c>
      <c r="K39" s="11"/>
      <c r="L39" s="11"/>
      <c r="M39" s="11"/>
      <c r="N39" s="11"/>
      <c r="O39" s="11" t="s">
        <v>30</v>
      </c>
      <c r="P39" s="11"/>
      <c r="Q39" s="11"/>
      <c r="R39" s="11" t="s">
        <v>1275</v>
      </c>
      <c r="S39" s="11"/>
      <c r="T39" s="10" t="s">
        <v>522</v>
      </c>
      <c r="U39" s="10" t="s">
        <v>40</v>
      </c>
      <c r="V39" s="10" t="s">
        <v>533</v>
      </c>
      <c r="W39" s="10" t="s">
        <v>545</v>
      </c>
      <c r="X39" s="13" t="s">
        <v>557</v>
      </c>
      <c r="Y39" s="14">
        <v>4.1900000000000004</v>
      </c>
      <c r="Z39" s="4"/>
      <c r="AA39" s="15">
        <v>3.5151221876456602</v>
      </c>
      <c r="AB39" s="14" t="s">
        <v>570</v>
      </c>
      <c r="AC39" s="10" t="s">
        <v>582</v>
      </c>
      <c r="AD39" s="10"/>
      <c r="AE39" s="92" t="str" cm="1">
        <f t="array" ref="AE39">_xlfn.IFS(COUNTIF(Table14623[[#This Row],[PBT/ vPvB]],"*X*"), 20, TRUE, "")</f>
        <v/>
      </c>
      <c r="AF39" s="93" t="str" cm="1">
        <f t="array" ref="AF39">_xlfn.IFS(COUNTIF(Table14623[[#This Row],[Perturbateur Endocrinien]],"*X*"), 20, TRUE, "")</f>
        <v/>
      </c>
      <c r="AG39" s="93" t="str" cm="1">
        <f t="array" ref="AG39">_xlfn.IFS(COUNTIF(Table14623[[#This Row],[Phrases H]],"*H350*"), 20, TRUE, "")</f>
        <v/>
      </c>
      <c r="AH39" s="93" t="str" cm="1">
        <f t="array" ref="AH39">_xlfn.IFS(COUNTIF(Table14623[[#This Row],[Phrases H]],"*H360*"), 20, TRUE, "")</f>
        <v/>
      </c>
      <c r="AI39" s="93" t="str" cm="1">
        <f t="array" ref="AI39">_xlfn.IFS(COUNTIF(Table14623[[#This Row],[Phrases H]],"*H340*"), 20, TRUE, "")</f>
        <v/>
      </c>
      <c r="AJ39" s="93" t="str" cm="1">
        <f t="array" ref="AJ39">_xlfn.IFS(COUNTIF(Table14623[[#This Row],[Phrases H]],"*H351*"), 10, TRUE, "")</f>
        <v/>
      </c>
      <c r="AK39" s="93" t="str" cm="1">
        <f t="array" ref="AK39">_xlfn.IFS(COUNTIF(Table14623[[#This Row],[Phrases H]],"*H361*"), 10, TRUE, "")</f>
        <v/>
      </c>
      <c r="AL39" s="93" t="str" cm="1">
        <f t="array" ref="AL39">_xlfn.IFS(COUNTIF(Table14623[[#This Row],[Phrases H]],"*H362*"), 10, TRUE, "")</f>
        <v/>
      </c>
      <c r="AM39" s="93" t="str" cm="1">
        <f t="array" ref="AM39">_xlfn.IFS(COUNTIF(Table14623[[#This Row],[Phrases H]],"*H341*"), 10, TRUE, "")</f>
        <v/>
      </c>
      <c r="AN39" s="93" t="str" cm="1">
        <f t="array" ref="AN39">_xlfn.IFS(COUNTIF(Table14623[[#This Row],[Phrases H]],"*H372*"), 10, TRUE, "")</f>
        <v/>
      </c>
      <c r="AO39" s="93" t="str" cm="1">
        <f t="array" ref="AO39">_xlfn.IFS(COUNTIF(Table14623[[#This Row],[Phrases H]],"*H410*"), 10, TRUE, "")</f>
        <v/>
      </c>
      <c r="AP39" s="93" t="str" cm="1">
        <f t="array" ref="AP39">_xlfn.IFS(COUNTIF(Table14623[[#This Row],[Phrases H]],"*H373*"), 5, TRUE, "")</f>
        <v/>
      </c>
      <c r="AQ39" s="93" cm="1">
        <f t="array" ref="AQ39">_xlfn.IFS(COUNTIF(Table14623[[#This Row],[Phrases H]],"*H411*"), 5, TRUE, "")</f>
        <v>5</v>
      </c>
      <c r="AR39" s="94">
        <f t="shared" si="50"/>
        <v>5</v>
      </c>
      <c r="AS39" s="95"/>
      <c r="AT39" s="144">
        <v>10</v>
      </c>
      <c r="AU39" s="97" t="s">
        <v>337</v>
      </c>
      <c r="AV39" s="98">
        <f t="shared" si="51"/>
        <v>5</v>
      </c>
      <c r="AW39" s="99" t="str">
        <f t="shared" si="52"/>
        <v>Très faible production</v>
      </c>
      <c r="AX39" s="95"/>
      <c r="AY39" s="100">
        <f t="shared" ref="AY39:AY86" si="61">AR39+AV39</f>
        <v>10</v>
      </c>
      <c r="AZ39" s="17"/>
      <c r="BA39" s="144">
        <v>6.01</v>
      </c>
      <c r="BB39" s="101">
        <f t="shared" si="59"/>
        <v>20</v>
      </c>
      <c r="BC39" s="98" t="str">
        <f t="shared" si="60"/>
        <v>Peu mobile</v>
      </c>
      <c r="BD39" s="101">
        <v>3.5151221876456602</v>
      </c>
      <c r="BE39" s="98" t="str">
        <f t="shared" ref="BE39:BE86" si="62">IF(BD39="N/A","N/A",IF(BD39&lt;2,"Très mobile",IF(BD39&lt;3,"Mobile","Non mobile")))</f>
        <v>Non mobile</v>
      </c>
      <c r="BF39" s="101">
        <v>181.4</v>
      </c>
      <c r="BG39" s="101">
        <v>32</v>
      </c>
      <c r="BH39" s="101">
        <v>192.5</v>
      </c>
      <c r="BI39" s="98" t="str">
        <f t="shared" si="46"/>
        <v>Non volatil</v>
      </c>
      <c r="BJ39" s="102" t="s">
        <v>1275</v>
      </c>
      <c r="BK39" s="103" t="s">
        <v>343</v>
      </c>
      <c r="BL39" s="17"/>
      <c r="BM39" s="104" t="str">
        <f t="shared" ref="BM39:BM86" si="63">_xlfn.CONCAT(AR39,", ",AW39," (",AV39,")",", ",BC39," (solubilité), ",BE39," (log Koc), ",,BI39,", ",BJ39,",",BK39)</f>
        <v>5, Très faible production (5), Peu mobile (solubilité), Non mobile (log Koc), Non volatil, non biodégradable,EUROFINS, SERVACO</v>
      </c>
      <c r="BN39" s="17"/>
      <c r="BO39" s="17"/>
      <c r="BP39" s="17"/>
      <c r="BQ39" s="17"/>
      <c r="BR39" s="17"/>
      <c r="BS39" s="17"/>
      <c r="BT39" s="30">
        <v>5</v>
      </c>
      <c r="BU39" s="31" t="s">
        <v>1075</v>
      </c>
      <c r="BV39" s="31" t="s">
        <v>1078</v>
      </c>
      <c r="BW39" s="31" t="s">
        <v>1080</v>
      </c>
      <c r="BX39" s="31" t="s">
        <v>1081</v>
      </c>
      <c r="BY39" s="31" t="s">
        <v>1275</v>
      </c>
      <c r="BZ39" s="32" t="s">
        <v>343</v>
      </c>
      <c r="CA39" s="17"/>
      <c r="CB39" s="105" t="s">
        <v>392</v>
      </c>
      <c r="CC39" s="106">
        <v>1</v>
      </c>
      <c r="CD39" s="17"/>
      <c r="CE39" s="107">
        <f t="shared" si="53"/>
        <v>12.666666666666668</v>
      </c>
      <c r="CF39" s="108">
        <f t="shared" si="47"/>
        <v>0.16033755274261605</v>
      </c>
      <c r="CG39" s="17"/>
      <c r="CH39" s="110" t="str">
        <f t="shared" si="48"/>
        <v>Catégorie 1</v>
      </c>
      <c r="CI39" s="111" t="str">
        <f t="shared" si="49"/>
        <v/>
      </c>
      <c r="CJ39" s="112" t="str">
        <f t="shared" si="54"/>
        <v/>
      </c>
      <c r="CK39" s="112" t="str">
        <f t="shared" si="55"/>
        <v/>
      </c>
      <c r="CL39" s="113" t="str">
        <f t="shared" si="56"/>
        <v/>
      </c>
      <c r="CM39" s="113" t="str">
        <f t="shared" si="57"/>
        <v/>
      </c>
      <c r="CN39" s="114" t="str">
        <f t="shared" si="58"/>
        <v/>
      </c>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row>
    <row r="40" spans="1:121" s="19" customFormat="1" ht="30" customHeight="1" x14ac:dyDescent="0.35">
      <c r="A40" s="4" t="s">
        <v>452</v>
      </c>
      <c r="B40" s="10" t="s">
        <v>498</v>
      </c>
      <c r="C40" s="10" t="s">
        <v>499</v>
      </c>
      <c r="D40" s="10" t="s">
        <v>500</v>
      </c>
      <c r="E40" s="10" t="s">
        <v>501</v>
      </c>
      <c r="F40" s="10" t="s">
        <v>502</v>
      </c>
      <c r="G40" s="10" t="s">
        <v>503</v>
      </c>
      <c r="H40" s="4" t="s">
        <v>31</v>
      </c>
      <c r="I40" s="4" t="s">
        <v>31</v>
      </c>
      <c r="J40" s="10" t="s">
        <v>31</v>
      </c>
      <c r="K40" s="11"/>
      <c r="L40" s="11"/>
      <c r="M40" s="11"/>
      <c r="N40" s="11"/>
      <c r="O40" s="11" t="s">
        <v>30</v>
      </c>
      <c r="P40" s="11"/>
      <c r="Q40" s="11"/>
      <c r="R40" s="11" t="s">
        <v>31</v>
      </c>
      <c r="S40" s="11"/>
      <c r="T40" s="10" t="s">
        <v>523</v>
      </c>
      <c r="U40" s="10" t="s">
        <v>40</v>
      </c>
      <c r="V40" s="13" t="s">
        <v>534</v>
      </c>
      <c r="W40" s="13" t="s">
        <v>546</v>
      </c>
      <c r="X40" s="13" t="s">
        <v>558</v>
      </c>
      <c r="Y40" s="14">
        <v>4.55</v>
      </c>
      <c r="Z40" s="4"/>
      <c r="AA40" s="15">
        <v>3.7050000000000001</v>
      </c>
      <c r="AB40" s="14" t="s">
        <v>571</v>
      </c>
      <c r="AC40" s="10" t="s">
        <v>583</v>
      </c>
      <c r="AD40" s="10"/>
      <c r="AE40" s="92" t="str" cm="1">
        <f t="array" ref="AE40">_xlfn.IFS(COUNTIF(Table14623[[#This Row],[PBT/ vPvB]],"*X*"), 20, TRUE, "")</f>
        <v/>
      </c>
      <c r="AF40" s="93" t="str" cm="1">
        <f t="array" ref="AF40">_xlfn.IFS(COUNTIF(Table14623[[#This Row],[Perturbateur Endocrinien]],"*X*"), 20, TRUE, "")</f>
        <v/>
      </c>
      <c r="AG40" s="93" t="str" cm="1">
        <f t="array" ref="AG40">_xlfn.IFS(COUNTIF(Table14623[[#This Row],[Phrases H]],"*H350*"), 20, TRUE, "")</f>
        <v/>
      </c>
      <c r="AH40" s="93" t="str" cm="1">
        <f t="array" ref="AH40">_xlfn.IFS(COUNTIF(Table14623[[#This Row],[Phrases H]],"*H360*"), 20, TRUE, "")</f>
        <v/>
      </c>
      <c r="AI40" s="93" t="str" cm="1">
        <f t="array" ref="AI40">_xlfn.IFS(COUNTIF(Table14623[[#This Row],[Phrases H]],"*H340*"), 20, TRUE, "")</f>
        <v/>
      </c>
      <c r="AJ40" s="93" t="str" cm="1">
        <f t="array" ref="AJ40">_xlfn.IFS(COUNTIF(Table14623[[#This Row],[Phrases H]],"*H351*"), 10, TRUE, "")</f>
        <v/>
      </c>
      <c r="AK40" s="93" t="str" cm="1">
        <f t="array" ref="AK40">_xlfn.IFS(COUNTIF(Table14623[[#This Row],[Phrases H]],"*H361*"), 10, TRUE, "")</f>
        <v/>
      </c>
      <c r="AL40" s="93" t="str" cm="1">
        <f t="array" ref="AL40">_xlfn.IFS(COUNTIF(Table14623[[#This Row],[Phrases H]],"*H362*"), 10, TRUE, "")</f>
        <v/>
      </c>
      <c r="AM40" s="93" t="str" cm="1">
        <f t="array" ref="AM40">_xlfn.IFS(COUNTIF(Table14623[[#This Row],[Phrases H]],"*H341*"), 10, TRUE, "")</f>
        <v/>
      </c>
      <c r="AN40" s="93" t="str" cm="1">
        <f t="array" ref="AN40">_xlfn.IFS(COUNTIF(Table14623[[#This Row],[Phrases H]],"*H372*"), 10, TRUE, "")</f>
        <v/>
      </c>
      <c r="AO40" s="93" cm="1">
        <f t="array" ref="AO40">_xlfn.IFS(COUNTIF(Table14623[[#This Row],[Phrases H]],"*H410*"), 10, TRUE, "")</f>
        <v>10</v>
      </c>
      <c r="AP40" s="93" t="str" cm="1">
        <f t="array" ref="AP40">_xlfn.IFS(COUNTIF(Table14623[[#This Row],[Phrases H]],"*H373*"), 5, TRUE, "")</f>
        <v/>
      </c>
      <c r="AQ40" s="93" t="str" cm="1">
        <f t="array" ref="AQ40">_xlfn.IFS(COUNTIF(Table14623[[#This Row],[Phrases H]],"*H411*"), 5, TRUE, "")</f>
        <v/>
      </c>
      <c r="AR40" s="94">
        <f t="shared" si="50"/>
        <v>10</v>
      </c>
      <c r="AS40" s="95"/>
      <c r="AT40" s="144" t="s">
        <v>31</v>
      </c>
      <c r="AU40" s="97" t="s">
        <v>337</v>
      </c>
      <c r="AV40" s="98">
        <f t="shared" si="51"/>
        <v>0</v>
      </c>
      <c r="AW40" s="99" t="str">
        <f t="shared" si="52"/>
        <v>N/A</v>
      </c>
      <c r="AX40" s="95"/>
      <c r="AY40" s="100">
        <f t="shared" si="61"/>
        <v>10</v>
      </c>
      <c r="AZ40" s="17"/>
      <c r="BA40" s="144">
        <v>2.11</v>
      </c>
      <c r="BB40" s="101">
        <f t="shared" si="59"/>
        <v>20</v>
      </c>
      <c r="BC40" s="98" t="str">
        <f t="shared" si="60"/>
        <v>Peu mobile</v>
      </c>
      <c r="BD40" s="101">
        <v>3.7050000000000001</v>
      </c>
      <c r="BE40" s="98" t="str">
        <f t="shared" si="62"/>
        <v>Non mobile</v>
      </c>
      <c r="BF40" s="101">
        <v>215.892</v>
      </c>
      <c r="BG40" s="101">
        <v>6.99</v>
      </c>
      <c r="BH40" s="101">
        <v>58.5</v>
      </c>
      <c r="BI40" s="98" t="str">
        <f t="shared" si="46"/>
        <v>Non volatil</v>
      </c>
      <c r="BJ40" s="102" t="s">
        <v>31</v>
      </c>
      <c r="BK40" s="103" t="s">
        <v>343</v>
      </c>
      <c r="BL40" s="17"/>
      <c r="BM40" s="104" t="str">
        <f t="shared" si="63"/>
        <v>10, N/A (0), Peu mobile (solubilité), Non mobile (log Koc), Non volatil, N/A,EUROFINS, SERVACO</v>
      </c>
      <c r="BN40" s="17"/>
      <c r="BO40" s="17"/>
      <c r="BP40" s="17"/>
      <c r="BQ40" s="17"/>
      <c r="BR40" s="17"/>
      <c r="BS40" s="17"/>
      <c r="BT40" s="30">
        <v>10</v>
      </c>
      <c r="BU40" s="31" t="s">
        <v>31</v>
      </c>
      <c r="BV40" s="31" t="s">
        <v>1078</v>
      </c>
      <c r="BW40" s="31" t="s">
        <v>1080</v>
      </c>
      <c r="BX40" s="31" t="s">
        <v>1081</v>
      </c>
      <c r="BY40" s="31" t="s">
        <v>31</v>
      </c>
      <c r="BZ40" s="32" t="s">
        <v>343</v>
      </c>
      <c r="CA40" s="17"/>
      <c r="CB40" s="105"/>
      <c r="CC40" s="106">
        <v>0</v>
      </c>
      <c r="CD40" s="17"/>
      <c r="CE40" s="107">
        <f t="shared" si="53"/>
        <v>9.3333333333333339</v>
      </c>
      <c r="CF40" s="108">
        <f t="shared" si="47"/>
        <v>0.11814345991561183</v>
      </c>
      <c r="CG40" s="17"/>
      <c r="CH40" s="110" t="str">
        <f t="shared" si="48"/>
        <v>Catégorie 1</v>
      </c>
      <c r="CI40" s="111" t="str">
        <f t="shared" si="49"/>
        <v/>
      </c>
      <c r="CJ40" s="112" t="str">
        <f t="shared" si="54"/>
        <v/>
      </c>
      <c r="CK40" s="112" t="str">
        <f t="shared" si="55"/>
        <v/>
      </c>
      <c r="CL40" s="113" t="str">
        <f t="shared" si="56"/>
        <v/>
      </c>
      <c r="CM40" s="113" t="str">
        <f t="shared" si="57"/>
        <v/>
      </c>
      <c r="CN40" s="114" t="str">
        <f t="shared" si="58"/>
        <v/>
      </c>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23"/>
    </row>
    <row r="41" spans="1:121" s="19" customFormat="1" ht="30" customHeight="1" x14ac:dyDescent="0.35">
      <c r="A41" s="4" t="s">
        <v>452</v>
      </c>
      <c r="B41" s="10" t="s">
        <v>504</v>
      </c>
      <c r="C41" s="10" t="s">
        <v>499</v>
      </c>
      <c r="D41" s="10" t="s">
        <v>505</v>
      </c>
      <c r="E41" s="10" t="s">
        <v>506</v>
      </c>
      <c r="F41" s="10" t="s">
        <v>502</v>
      </c>
      <c r="G41" s="10" t="s">
        <v>507</v>
      </c>
      <c r="H41" s="4" t="s">
        <v>31</v>
      </c>
      <c r="I41" s="4" t="s">
        <v>31</v>
      </c>
      <c r="J41" s="10" t="s">
        <v>31</v>
      </c>
      <c r="K41" s="11"/>
      <c r="L41" s="11"/>
      <c r="M41" s="11"/>
      <c r="N41" s="11"/>
      <c r="O41" s="11" t="s">
        <v>30</v>
      </c>
      <c r="P41" s="11"/>
      <c r="Q41" s="11"/>
      <c r="R41" s="11" t="s">
        <v>31</v>
      </c>
      <c r="S41" s="11"/>
      <c r="T41" s="10" t="s">
        <v>523</v>
      </c>
      <c r="U41" s="10" t="s">
        <v>40</v>
      </c>
      <c r="V41" s="13" t="s">
        <v>535</v>
      </c>
      <c r="W41" s="13" t="s">
        <v>547</v>
      </c>
      <c r="X41" s="13" t="s">
        <v>559</v>
      </c>
      <c r="Y41" s="14">
        <v>4.6425000000000001</v>
      </c>
      <c r="Z41" s="4"/>
      <c r="AA41" s="15">
        <v>3.2</v>
      </c>
      <c r="AB41" s="14" t="s">
        <v>572</v>
      </c>
      <c r="AC41" s="10" t="s">
        <v>584</v>
      </c>
      <c r="AD41" s="10"/>
      <c r="AE41" s="92" t="str" cm="1">
        <f t="array" ref="AE41">_xlfn.IFS(COUNTIF(Table14623[[#This Row],[PBT/ vPvB]],"*X*"), 20, TRUE, "")</f>
        <v/>
      </c>
      <c r="AF41" s="93" t="str" cm="1">
        <f t="array" ref="AF41">_xlfn.IFS(COUNTIF(Table14623[[#This Row],[Perturbateur Endocrinien]],"*X*"), 20, TRUE, "")</f>
        <v/>
      </c>
      <c r="AG41" s="93" t="str" cm="1">
        <f t="array" ref="AG41">_xlfn.IFS(COUNTIF(Table14623[[#This Row],[Phrases H]],"*H350*"), 20, TRUE, "")</f>
        <v/>
      </c>
      <c r="AH41" s="93" t="str" cm="1">
        <f t="array" ref="AH41">_xlfn.IFS(COUNTIF(Table14623[[#This Row],[Phrases H]],"*H360*"), 20, TRUE, "")</f>
        <v/>
      </c>
      <c r="AI41" s="93" t="str" cm="1">
        <f t="array" ref="AI41">_xlfn.IFS(COUNTIF(Table14623[[#This Row],[Phrases H]],"*H340*"), 20, TRUE, "")</f>
        <v/>
      </c>
      <c r="AJ41" s="93" t="str" cm="1">
        <f t="array" ref="AJ41">_xlfn.IFS(COUNTIF(Table14623[[#This Row],[Phrases H]],"*H351*"), 10, TRUE, "")</f>
        <v/>
      </c>
      <c r="AK41" s="93" t="str" cm="1">
        <f t="array" ref="AK41">_xlfn.IFS(COUNTIF(Table14623[[#This Row],[Phrases H]],"*H361*"), 10, TRUE, "")</f>
        <v/>
      </c>
      <c r="AL41" s="93" t="str" cm="1">
        <f t="array" ref="AL41">_xlfn.IFS(COUNTIF(Table14623[[#This Row],[Phrases H]],"*H362*"), 10, TRUE, "")</f>
        <v/>
      </c>
      <c r="AM41" s="93" t="str" cm="1">
        <f t="array" ref="AM41">_xlfn.IFS(COUNTIF(Table14623[[#This Row],[Phrases H]],"*H341*"), 10, TRUE, "")</f>
        <v/>
      </c>
      <c r="AN41" s="93" t="str" cm="1">
        <f t="array" ref="AN41">_xlfn.IFS(COUNTIF(Table14623[[#This Row],[Phrases H]],"*H372*"), 10, TRUE, "")</f>
        <v/>
      </c>
      <c r="AO41" s="93" cm="1">
        <f t="array" ref="AO41">_xlfn.IFS(COUNTIF(Table14623[[#This Row],[Phrases H]],"*H410*"), 10, TRUE, "")</f>
        <v>10</v>
      </c>
      <c r="AP41" s="93" t="str" cm="1">
        <f t="array" ref="AP41">_xlfn.IFS(COUNTIF(Table14623[[#This Row],[Phrases H]],"*H373*"), 5, TRUE, "")</f>
        <v/>
      </c>
      <c r="AQ41" s="93" t="str" cm="1">
        <f t="array" ref="AQ41">_xlfn.IFS(COUNTIF(Table14623[[#This Row],[Phrases H]],"*H411*"), 5, TRUE, "")</f>
        <v/>
      </c>
      <c r="AR41" s="94">
        <f t="shared" si="50"/>
        <v>10</v>
      </c>
      <c r="AS41" s="95"/>
      <c r="AT41" s="144" t="s">
        <v>31</v>
      </c>
      <c r="AU41" s="97" t="s">
        <v>337</v>
      </c>
      <c r="AV41" s="98">
        <f t="shared" si="51"/>
        <v>0</v>
      </c>
      <c r="AW41" s="99" t="str">
        <f t="shared" si="52"/>
        <v>N/A</v>
      </c>
      <c r="AX41" s="95"/>
      <c r="AY41" s="100">
        <f t="shared" si="61"/>
        <v>10</v>
      </c>
      <c r="AZ41" s="17"/>
      <c r="BA41" s="144">
        <v>2.4300000000000002</v>
      </c>
      <c r="BB41" s="101">
        <f t="shared" si="59"/>
        <v>20</v>
      </c>
      <c r="BC41" s="98" t="str">
        <f t="shared" si="60"/>
        <v>Peu mobile</v>
      </c>
      <c r="BD41" s="101">
        <v>3.2</v>
      </c>
      <c r="BE41" s="98" t="str">
        <f t="shared" si="62"/>
        <v>Non mobile</v>
      </c>
      <c r="BF41" s="101">
        <v>215.892</v>
      </c>
      <c r="BG41" s="101">
        <v>13.98</v>
      </c>
      <c r="BH41" s="101">
        <v>99</v>
      </c>
      <c r="BI41" s="98" t="str">
        <f t="shared" si="46"/>
        <v>Non volatil</v>
      </c>
      <c r="BJ41" s="102" t="s">
        <v>31</v>
      </c>
      <c r="BK41" s="103" t="s">
        <v>343</v>
      </c>
      <c r="BL41" s="17"/>
      <c r="BM41" s="104" t="str">
        <f t="shared" si="63"/>
        <v>10, N/A (0), Peu mobile (solubilité), Non mobile (log Koc), Non volatil, N/A,EUROFINS, SERVACO</v>
      </c>
      <c r="BN41" s="17"/>
      <c r="BO41" s="17"/>
      <c r="BP41" s="17"/>
      <c r="BQ41" s="17"/>
      <c r="BR41" s="17"/>
      <c r="BS41" s="17"/>
      <c r="BT41" s="30">
        <v>10</v>
      </c>
      <c r="BU41" s="31" t="s">
        <v>31</v>
      </c>
      <c r="BV41" s="31" t="s">
        <v>1078</v>
      </c>
      <c r="BW41" s="31" t="s">
        <v>1080</v>
      </c>
      <c r="BX41" s="31" t="s">
        <v>1081</v>
      </c>
      <c r="BY41" s="31" t="s">
        <v>31</v>
      </c>
      <c r="BZ41" s="32" t="s">
        <v>343</v>
      </c>
      <c r="CA41" s="17"/>
      <c r="CB41" s="105"/>
      <c r="CC41" s="106">
        <v>0</v>
      </c>
      <c r="CD41" s="17"/>
      <c r="CE41" s="107">
        <f t="shared" si="53"/>
        <v>9.3333333333333339</v>
      </c>
      <c r="CF41" s="108">
        <f t="shared" si="47"/>
        <v>0.11814345991561183</v>
      </c>
      <c r="CG41" s="17"/>
      <c r="CH41" s="110" t="str">
        <f t="shared" si="48"/>
        <v>Catégorie 1</v>
      </c>
      <c r="CI41" s="111" t="str">
        <f t="shared" si="49"/>
        <v/>
      </c>
      <c r="CJ41" s="112" t="str">
        <f t="shared" si="54"/>
        <v/>
      </c>
      <c r="CK41" s="112" t="str">
        <f t="shared" si="55"/>
        <v/>
      </c>
      <c r="CL41" s="113" t="str">
        <f t="shared" si="56"/>
        <v/>
      </c>
      <c r="CM41" s="113" t="str">
        <f t="shared" si="57"/>
        <v/>
      </c>
      <c r="CN41" s="114" t="str">
        <f t="shared" si="58"/>
        <v/>
      </c>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row>
    <row r="42" spans="1:121" s="19" customFormat="1" ht="30" customHeight="1" thickBot="1" x14ac:dyDescent="0.4">
      <c r="A42" s="4" t="s">
        <v>452</v>
      </c>
      <c r="B42" s="10" t="s">
        <v>508</v>
      </c>
      <c r="C42" s="10" t="s">
        <v>499</v>
      </c>
      <c r="D42" s="10" t="s">
        <v>509</v>
      </c>
      <c r="E42" s="10" t="s">
        <v>510</v>
      </c>
      <c r="F42" s="10" t="s">
        <v>502</v>
      </c>
      <c r="G42" s="10" t="s">
        <v>511</v>
      </c>
      <c r="H42" s="4" t="s">
        <v>31</v>
      </c>
      <c r="I42" s="4" t="s">
        <v>31</v>
      </c>
      <c r="J42" s="10" t="s">
        <v>517</v>
      </c>
      <c r="K42" s="11"/>
      <c r="L42" s="11"/>
      <c r="M42" s="11"/>
      <c r="N42" s="11"/>
      <c r="O42" s="11" t="s">
        <v>30</v>
      </c>
      <c r="P42" s="11"/>
      <c r="Q42" s="11"/>
      <c r="R42" s="11" t="s">
        <v>31</v>
      </c>
      <c r="S42" s="11"/>
      <c r="T42" s="10" t="s">
        <v>524</v>
      </c>
      <c r="U42" s="10" t="s">
        <v>40</v>
      </c>
      <c r="V42" s="13" t="s">
        <v>536</v>
      </c>
      <c r="W42" s="13" t="s">
        <v>548</v>
      </c>
      <c r="X42" s="13" t="s">
        <v>560</v>
      </c>
      <c r="Y42" s="14">
        <v>4.6399999999999997</v>
      </c>
      <c r="Z42" s="4"/>
      <c r="AA42" s="15">
        <v>3.4131292090000001</v>
      </c>
      <c r="AB42" s="16" t="s">
        <v>573</v>
      </c>
      <c r="AC42" s="10" t="s">
        <v>585</v>
      </c>
      <c r="AD42" s="10"/>
      <c r="AE42" s="146" t="str" cm="1">
        <f t="array" ref="AE42">_xlfn.IFS(COUNTIF(Table14623[[#This Row],[PBT/ vPvB]],"*X*"), 20, TRUE, "")</f>
        <v/>
      </c>
      <c r="AF42" s="147" t="str" cm="1">
        <f t="array" ref="AF42">_xlfn.IFS(COUNTIF(Table14623[[#This Row],[Perturbateur Endocrinien]],"*X*"), 20, TRUE, "")</f>
        <v/>
      </c>
      <c r="AG42" s="147" t="str" cm="1">
        <f t="array" ref="AG42">_xlfn.IFS(COUNTIF(Table14623[[#This Row],[Phrases H]],"*H350*"), 20, TRUE, "")</f>
        <v/>
      </c>
      <c r="AH42" s="147" t="str" cm="1">
        <f t="array" ref="AH42">_xlfn.IFS(COUNTIF(Table14623[[#This Row],[Phrases H]],"*H360*"), 20, TRUE, "")</f>
        <v/>
      </c>
      <c r="AI42" s="147" t="str" cm="1">
        <f t="array" ref="AI42">_xlfn.IFS(COUNTIF(Table14623[[#This Row],[Phrases H]],"*H340*"), 20, TRUE, "")</f>
        <v/>
      </c>
      <c r="AJ42" s="147" t="str" cm="1">
        <f t="array" ref="AJ42">_xlfn.IFS(COUNTIF(Table14623[[#This Row],[Phrases H]],"*H351*"), 10, TRUE, "")</f>
        <v/>
      </c>
      <c r="AK42" s="147" t="str" cm="1">
        <f t="array" ref="AK42">_xlfn.IFS(COUNTIF(Table14623[[#This Row],[Phrases H]],"*H361*"), 10, TRUE, "")</f>
        <v/>
      </c>
      <c r="AL42" s="147" t="str" cm="1">
        <f t="array" ref="AL42">_xlfn.IFS(COUNTIF(Table14623[[#This Row],[Phrases H]],"*H362*"), 10, TRUE, "")</f>
        <v/>
      </c>
      <c r="AM42" s="147" t="str" cm="1">
        <f t="array" ref="AM42">_xlfn.IFS(COUNTIF(Table14623[[#This Row],[Phrases H]],"*H341*"), 10, TRUE, "")</f>
        <v/>
      </c>
      <c r="AN42" s="147" t="str" cm="1">
        <f t="array" ref="AN42">_xlfn.IFS(COUNTIF(Table14623[[#This Row],[Phrases H]],"*H372*"), 10, TRUE, "")</f>
        <v/>
      </c>
      <c r="AO42" s="147" t="str" cm="1">
        <f t="array" ref="AO42">_xlfn.IFS(COUNTIF(Table14623[[#This Row],[Phrases H]],"*H410*"), 10, TRUE, "")</f>
        <v/>
      </c>
      <c r="AP42" s="147" t="str" cm="1">
        <f t="array" ref="AP42">_xlfn.IFS(COUNTIF(Table14623[[#This Row],[Phrases H]],"*H373*"), 5, TRUE, "")</f>
        <v/>
      </c>
      <c r="AQ42" s="147" t="str" cm="1">
        <f t="array" ref="AQ42">_xlfn.IFS(COUNTIF(Table14623[[#This Row],[Phrases H]],"*H411*"), 5, TRUE, "")</f>
        <v/>
      </c>
      <c r="AR42" s="148">
        <f t="shared" si="50"/>
        <v>0</v>
      </c>
      <c r="AS42" s="95"/>
      <c r="AT42" s="149">
        <v>100000</v>
      </c>
      <c r="AU42" s="150" t="s">
        <v>337</v>
      </c>
      <c r="AV42" s="151">
        <f t="shared" si="51"/>
        <v>25</v>
      </c>
      <c r="AW42" s="152" t="str">
        <f t="shared" si="52"/>
        <v>Production très élevée</v>
      </c>
      <c r="AX42" s="95"/>
      <c r="AY42" s="153">
        <f t="shared" si="61"/>
        <v>25</v>
      </c>
      <c r="AZ42" s="17"/>
      <c r="BA42" s="154">
        <v>0.59499999999999997</v>
      </c>
      <c r="BB42" s="155">
        <f t="shared" si="59"/>
        <v>20</v>
      </c>
      <c r="BC42" s="156" t="str">
        <f t="shared" si="60"/>
        <v>Peu mobile</v>
      </c>
      <c r="BD42" s="155">
        <v>3.4131292090000001</v>
      </c>
      <c r="BE42" s="156" t="str">
        <f t="shared" si="62"/>
        <v>Non mobile</v>
      </c>
      <c r="BF42" s="155">
        <v>215.892</v>
      </c>
      <c r="BG42" s="155">
        <v>0.72</v>
      </c>
      <c r="BH42" s="155">
        <v>101</v>
      </c>
      <c r="BI42" s="156" t="str">
        <f t="shared" si="46"/>
        <v>Non volatil</v>
      </c>
      <c r="BJ42" s="157" t="s">
        <v>31</v>
      </c>
      <c r="BK42" s="158" t="s">
        <v>343</v>
      </c>
      <c r="BL42" s="17"/>
      <c r="BM42" s="159" t="str">
        <f t="shared" si="63"/>
        <v>0, Production très élevée (25), Peu mobile (solubilité), Non mobile (log Koc), Non volatil, N/A,EUROFINS, SERVACO</v>
      </c>
      <c r="BN42" s="17"/>
      <c r="BO42" s="17"/>
      <c r="BP42" s="17"/>
      <c r="BQ42" s="17"/>
      <c r="BR42" s="17"/>
      <c r="BS42" s="17"/>
      <c r="BT42" s="42">
        <v>0</v>
      </c>
      <c r="BU42" s="43" t="s">
        <v>1072</v>
      </c>
      <c r="BV42" s="43" t="s">
        <v>1078</v>
      </c>
      <c r="BW42" s="43" t="s">
        <v>1080</v>
      </c>
      <c r="BX42" s="43" t="s">
        <v>1081</v>
      </c>
      <c r="BY42" s="43" t="s">
        <v>31</v>
      </c>
      <c r="BZ42" s="32" t="s">
        <v>343</v>
      </c>
      <c r="CA42" s="17"/>
      <c r="CB42" s="160"/>
      <c r="CC42" s="161">
        <v>0</v>
      </c>
      <c r="CD42" s="17"/>
      <c r="CE42" s="162">
        <f t="shared" si="53"/>
        <v>15</v>
      </c>
      <c r="CF42" s="163">
        <f t="shared" si="47"/>
        <v>0.189873417721519</v>
      </c>
      <c r="CG42" s="17"/>
      <c r="CH42" s="164" t="str">
        <f t="shared" si="48"/>
        <v>Catégorie 1</v>
      </c>
      <c r="CI42" s="165" t="str">
        <f t="shared" si="49"/>
        <v/>
      </c>
      <c r="CJ42" s="166" t="str">
        <f t="shared" si="54"/>
        <v/>
      </c>
      <c r="CK42" s="166" t="str">
        <f t="shared" si="55"/>
        <v/>
      </c>
      <c r="CL42" s="167" t="str">
        <f t="shared" si="56"/>
        <v/>
      </c>
      <c r="CM42" s="167" t="str">
        <f t="shared" si="57"/>
        <v/>
      </c>
      <c r="CN42" s="168" t="str">
        <f t="shared" si="58"/>
        <v/>
      </c>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23"/>
    </row>
    <row r="43" spans="1:121" s="19" customFormat="1" ht="30" customHeight="1" x14ac:dyDescent="0.35">
      <c r="A43" s="4" t="s">
        <v>586</v>
      </c>
      <c r="B43" s="10" t="s">
        <v>587</v>
      </c>
      <c r="C43" s="10" t="s">
        <v>588</v>
      </c>
      <c r="D43" s="10" t="s">
        <v>589</v>
      </c>
      <c r="E43" s="10" t="s">
        <v>590</v>
      </c>
      <c r="F43" s="10" t="s">
        <v>591</v>
      </c>
      <c r="G43" s="10" t="s">
        <v>592</v>
      </c>
      <c r="H43" s="10" t="s">
        <v>593</v>
      </c>
      <c r="I43" s="10" t="s">
        <v>594</v>
      </c>
      <c r="J43" s="11" t="s">
        <v>31</v>
      </c>
      <c r="K43" s="11"/>
      <c r="L43" s="11" t="s">
        <v>30</v>
      </c>
      <c r="M43" s="11"/>
      <c r="N43" s="11"/>
      <c r="O43" s="11"/>
      <c r="P43" s="11"/>
      <c r="Q43" s="11"/>
      <c r="R43" s="11" t="s">
        <v>31</v>
      </c>
      <c r="S43" s="11"/>
      <c r="T43" s="11" t="s">
        <v>595</v>
      </c>
      <c r="U43" s="11" t="s">
        <v>52</v>
      </c>
      <c r="V43" s="12" t="s">
        <v>699</v>
      </c>
      <c r="W43" s="12" t="s">
        <v>716</v>
      </c>
      <c r="X43" s="11" t="s">
        <v>733</v>
      </c>
      <c r="Y43" s="11" t="s">
        <v>750</v>
      </c>
      <c r="Z43" s="4"/>
      <c r="AA43" s="21">
        <v>5.633</v>
      </c>
      <c r="AB43" s="12" t="s">
        <v>766</v>
      </c>
      <c r="AC43" s="11" t="s">
        <v>781</v>
      </c>
      <c r="AD43" s="10"/>
      <c r="AE43" s="123" t="str" cm="1">
        <f t="array" ref="AE43">_xlfn.IFS(COUNTIF(Table14623[[#This Row],[PBT/ vPvB]],"*X*"), 20, TRUE, "")</f>
        <v/>
      </c>
      <c r="AF43" s="124" t="str" cm="1">
        <f t="array" ref="AF43">_xlfn.IFS(COUNTIF(Table14623[[#This Row],[Perturbateur Endocrinien]],"*X*"), 20, TRUE, "")</f>
        <v/>
      </c>
      <c r="AG43" s="124" t="str" cm="1">
        <f t="array" ref="AG43">_xlfn.IFS(COUNTIF(Table14623[[#This Row],[Phrases H]],"*H350*"), 20, TRUE, "")</f>
        <v/>
      </c>
      <c r="AH43" s="124" t="str" cm="1">
        <f t="array" ref="AH43">_xlfn.IFS(COUNTIF(Table14623[[#This Row],[Phrases H]],"*H360*"), 20, TRUE, "")</f>
        <v/>
      </c>
      <c r="AI43" s="124" t="str" cm="1">
        <f t="array" ref="AI43">_xlfn.IFS(COUNTIF(Table14623[[#This Row],[Phrases H]],"*H340*"), 20, TRUE, "")</f>
        <v/>
      </c>
      <c r="AJ43" s="124" t="str" cm="1">
        <f t="array" ref="AJ43">_xlfn.IFS(COUNTIF(Table14623[[#This Row],[Phrases H]],"*H351*"), 10, TRUE, "")</f>
        <v/>
      </c>
      <c r="AK43" s="124" t="str" cm="1">
        <f t="array" ref="AK43">_xlfn.IFS(COUNTIF(Table14623[[#This Row],[Phrases H]],"*H361*"), 10, TRUE, "")</f>
        <v/>
      </c>
      <c r="AL43" s="124" t="str" cm="1">
        <f t="array" ref="AL43">_xlfn.IFS(COUNTIF(Table14623[[#This Row],[Phrases H]],"*H362*"), 10, TRUE, "")</f>
        <v/>
      </c>
      <c r="AM43" s="124" t="str" cm="1">
        <f t="array" ref="AM43">_xlfn.IFS(COUNTIF(Table14623[[#This Row],[Phrases H]],"*H341*"), 10, TRUE, "")</f>
        <v/>
      </c>
      <c r="AN43" s="124" t="str" cm="1">
        <f t="array" ref="AN43">_xlfn.IFS(COUNTIF(Table14623[[#This Row],[Phrases H]],"*H372*"), 10, TRUE, "")</f>
        <v/>
      </c>
      <c r="AO43" s="124" cm="1">
        <f t="array" ref="AO43">_xlfn.IFS(COUNTIF(Table14623[[#This Row],[Phrases H]],"*H410*"), 10, TRUE, "")</f>
        <v>10</v>
      </c>
      <c r="AP43" s="124" t="str" cm="1">
        <f t="array" ref="AP43">_xlfn.IFS(COUNTIF(Table14623[[#This Row],[Phrases H]],"*H373*"), 5, TRUE, "")</f>
        <v/>
      </c>
      <c r="AQ43" s="124" t="str" cm="1">
        <f t="array" ref="AQ43">_xlfn.IFS(COUNTIF(Table14623[[#This Row],[Phrases H]],"*H411*"), 5, TRUE, "")</f>
        <v/>
      </c>
      <c r="AR43" s="125">
        <f t="shared" ref="AR43:AR59" si="64">SUM(AE43:AQ43)</f>
        <v>10</v>
      </c>
      <c r="AS43" s="95"/>
      <c r="AT43" s="126" t="s">
        <v>31</v>
      </c>
      <c r="AU43" s="127" t="s">
        <v>337</v>
      </c>
      <c r="AV43" s="128">
        <f t="shared" si="51"/>
        <v>0</v>
      </c>
      <c r="AW43" s="129" t="str">
        <f t="shared" si="52"/>
        <v>N/A</v>
      </c>
      <c r="AX43" s="95"/>
      <c r="AY43" s="130">
        <f t="shared" si="61"/>
        <v>10</v>
      </c>
      <c r="AZ43" s="17"/>
      <c r="BA43" s="126">
        <v>2.0000000000000001E-4</v>
      </c>
      <c r="BB43" s="131">
        <f t="shared" si="59"/>
        <v>10</v>
      </c>
      <c r="BC43" s="128" t="str">
        <f t="shared" si="60"/>
        <v>Très peu mobile</v>
      </c>
      <c r="BD43" s="131">
        <v>5.633</v>
      </c>
      <c r="BE43" s="128" t="str">
        <f t="shared" si="62"/>
        <v>Non mobile</v>
      </c>
      <c r="BF43" s="131">
        <v>321.97000000000003</v>
      </c>
      <c r="BG43" s="131">
        <v>1.9999999999999999E-7</v>
      </c>
      <c r="BH43" s="131">
        <v>0.83899999999999997</v>
      </c>
      <c r="BI43" s="128" t="str">
        <f t="shared" si="46"/>
        <v>Non volatil</v>
      </c>
      <c r="BJ43" s="132" t="s">
        <v>31</v>
      </c>
      <c r="BK43" s="133" t="s">
        <v>341</v>
      </c>
      <c r="BL43" s="17"/>
      <c r="BM43" s="134" t="str">
        <f t="shared" si="63"/>
        <v>10, N/A (0), Très peu mobile (solubilité), Non mobile (log Koc), Non volatil, N/A,EUROFINS</v>
      </c>
      <c r="BN43" s="17"/>
      <c r="BO43" s="17"/>
      <c r="BP43" s="17"/>
      <c r="BQ43" s="17"/>
      <c r="BR43" s="17"/>
      <c r="BS43" s="17"/>
      <c r="BT43" s="39">
        <v>10</v>
      </c>
      <c r="BU43" s="40" t="s">
        <v>31</v>
      </c>
      <c r="BV43" s="40" t="s">
        <v>1077</v>
      </c>
      <c r="BW43" s="40" t="s">
        <v>1080</v>
      </c>
      <c r="BX43" s="40" t="s">
        <v>1081</v>
      </c>
      <c r="BY43" s="40" t="s">
        <v>31</v>
      </c>
      <c r="BZ43" s="41" t="s">
        <v>341</v>
      </c>
      <c r="CA43" s="17"/>
      <c r="CB43" s="135"/>
      <c r="CC43" s="106">
        <v>0</v>
      </c>
      <c r="CD43" s="17"/>
      <c r="CE43" s="137">
        <f t="shared" si="53"/>
        <v>9.3333333333333339</v>
      </c>
      <c r="CF43" s="138">
        <f t="shared" si="47"/>
        <v>0.11814345991561183</v>
      </c>
      <c r="CG43" s="17"/>
      <c r="CH43" s="139" t="str">
        <f t="shared" si="48"/>
        <v>Catégorie 1</v>
      </c>
      <c r="CI43" s="140" t="str">
        <f t="shared" si="49"/>
        <v/>
      </c>
      <c r="CJ43" s="141" t="str">
        <f t="shared" si="54"/>
        <v/>
      </c>
      <c r="CK43" s="141" t="str">
        <f t="shared" si="55"/>
        <v/>
      </c>
      <c r="CL43" s="142" t="str">
        <f t="shared" si="56"/>
        <v/>
      </c>
      <c r="CM43" s="142" t="str">
        <f t="shared" si="57"/>
        <v/>
      </c>
      <c r="CN43" s="143" t="str">
        <f t="shared" si="58"/>
        <v/>
      </c>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row>
    <row r="44" spans="1:121" s="19" customFormat="1" ht="30" customHeight="1" x14ac:dyDescent="0.35">
      <c r="A44" s="4" t="s">
        <v>586</v>
      </c>
      <c r="B44" s="10" t="s">
        <v>596</v>
      </c>
      <c r="C44" s="10" t="s">
        <v>597</v>
      </c>
      <c r="D44" s="10" t="s">
        <v>598</v>
      </c>
      <c r="E44" s="10" t="s">
        <v>599</v>
      </c>
      <c r="F44" s="10" t="s">
        <v>600</v>
      </c>
      <c r="G44" s="10" t="s">
        <v>601</v>
      </c>
      <c r="H44" s="10" t="s">
        <v>593</v>
      </c>
      <c r="I44" s="10" t="s">
        <v>594</v>
      </c>
      <c r="J44" s="11" t="s">
        <v>31</v>
      </c>
      <c r="K44" s="11"/>
      <c r="L44" s="11" t="s">
        <v>30</v>
      </c>
      <c r="M44" s="11"/>
      <c r="N44" s="11"/>
      <c r="O44" s="11"/>
      <c r="P44" s="11"/>
      <c r="Q44" s="11"/>
      <c r="R44" s="11" t="s">
        <v>31</v>
      </c>
      <c r="S44" s="11"/>
      <c r="T44" s="11" t="s">
        <v>602</v>
      </c>
      <c r="U44" s="11" t="s">
        <v>40</v>
      </c>
      <c r="V44" s="11" t="s">
        <v>700</v>
      </c>
      <c r="W44" s="12" t="s">
        <v>717</v>
      </c>
      <c r="X44" s="11" t="s">
        <v>734</v>
      </c>
      <c r="Y44" s="11" t="s">
        <v>751</v>
      </c>
      <c r="Z44" s="4"/>
      <c r="AA44" s="21">
        <v>5.91</v>
      </c>
      <c r="AB44" s="11" t="s">
        <v>767</v>
      </c>
      <c r="AC44" s="11" t="s">
        <v>782</v>
      </c>
      <c r="AD44" s="10"/>
      <c r="AE44" s="92" t="str" cm="1">
        <f t="array" ref="AE44">_xlfn.IFS(COUNTIF(Table14623[[#This Row],[PBT/ vPvB]],"*X*"), 20, TRUE, "")</f>
        <v/>
      </c>
      <c r="AF44" s="93" t="str" cm="1">
        <f t="array" ref="AF44">_xlfn.IFS(COUNTIF(Table14623[[#This Row],[Perturbateur Endocrinien]],"*X*"), 20, TRUE, "")</f>
        <v/>
      </c>
      <c r="AG44" s="93" t="str" cm="1">
        <f t="array" ref="AG44">_xlfn.IFS(COUNTIF(Table14623[[#This Row],[Phrases H]],"*H350*"), 20, TRUE, "")</f>
        <v/>
      </c>
      <c r="AH44" s="93" t="str" cm="1">
        <f t="array" ref="AH44">_xlfn.IFS(COUNTIF(Table14623[[#This Row],[Phrases H]],"*H360*"), 20, TRUE, "")</f>
        <v/>
      </c>
      <c r="AI44" s="93" t="str" cm="1">
        <f t="array" ref="AI44">_xlfn.IFS(COUNTIF(Table14623[[#This Row],[Phrases H]],"*H340*"), 20, TRUE, "")</f>
        <v/>
      </c>
      <c r="AJ44" s="93" t="str" cm="1">
        <f t="array" ref="AJ44">_xlfn.IFS(COUNTIF(Table14623[[#This Row],[Phrases H]],"*H351*"), 10, TRUE, "")</f>
        <v/>
      </c>
      <c r="AK44" s="93" t="str" cm="1">
        <f t="array" ref="AK44">_xlfn.IFS(COUNTIF(Table14623[[#This Row],[Phrases H]],"*H361*"), 10, TRUE, "")</f>
        <v/>
      </c>
      <c r="AL44" s="93" t="str" cm="1">
        <f t="array" ref="AL44">_xlfn.IFS(COUNTIF(Table14623[[#This Row],[Phrases H]],"*H362*"), 10, TRUE, "")</f>
        <v/>
      </c>
      <c r="AM44" s="93" t="str" cm="1">
        <f t="array" ref="AM44">_xlfn.IFS(COUNTIF(Table14623[[#This Row],[Phrases H]],"*H341*"), 10, TRUE, "")</f>
        <v/>
      </c>
      <c r="AN44" s="93" t="str" cm="1">
        <f t="array" ref="AN44">_xlfn.IFS(COUNTIF(Table14623[[#This Row],[Phrases H]],"*H372*"), 10, TRUE, "")</f>
        <v/>
      </c>
      <c r="AO44" s="93" t="str" cm="1">
        <f t="array" ref="AO44">_xlfn.IFS(COUNTIF(Table14623[[#This Row],[Phrases H]],"*H410*"), 10, TRUE, "")</f>
        <v/>
      </c>
      <c r="AP44" s="93" t="str" cm="1">
        <f t="array" ref="AP44">_xlfn.IFS(COUNTIF(Table14623[[#This Row],[Phrases H]],"*H373*"), 5, TRUE, "")</f>
        <v/>
      </c>
      <c r="AQ44" s="93" t="str" cm="1">
        <f t="array" ref="AQ44">_xlfn.IFS(COUNTIF(Table14623[[#This Row],[Phrases H]],"*H411*"), 5, TRUE, "")</f>
        <v/>
      </c>
      <c r="AR44" s="94">
        <f t="shared" si="64"/>
        <v>0</v>
      </c>
      <c r="AS44" s="95"/>
      <c r="AT44" s="144" t="s">
        <v>31</v>
      </c>
      <c r="AU44" s="97" t="s">
        <v>337</v>
      </c>
      <c r="AV44" s="98">
        <f t="shared" si="51"/>
        <v>0</v>
      </c>
      <c r="AW44" s="99" t="str">
        <f t="shared" si="52"/>
        <v>N/A</v>
      </c>
      <c r="AX44" s="95"/>
      <c r="AY44" s="100">
        <f t="shared" si="61"/>
        <v>0</v>
      </c>
      <c r="AZ44" s="17"/>
      <c r="BA44" s="144">
        <v>9.8200000000000002E-5</v>
      </c>
      <c r="BB44" s="101">
        <f t="shared" si="59"/>
        <v>10</v>
      </c>
      <c r="BC44" s="98" t="str">
        <f t="shared" si="60"/>
        <v>Très peu mobile</v>
      </c>
      <c r="BD44" s="101">
        <v>5.91</v>
      </c>
      <c r="BE44" s="98" t="str">
        <f t="shared" si="62"/>
        <v>Non mobile</v>
      </c>
      <c r="BF44" s="101">
        <v>356.416</v>
      </c>
      <c r="BG44" s="101">
        <v>5.8000000000000003E-8</v>
      </c>
      <c r="BH44" s="101">
        <v>1.48</v>
      </c>
      <c r="BI44" s="98" t="str">
        <f t="shared" si="46"/>
        <v>Non volatil</v>
      </c>
      <c r="BJ44" s="102" t="s">
        <v>31</v>
      </c>
      <c r="BK44" s="103" t="s">
        <v>341</v>
      </c>
      <c r="BL44" s="17"/>
      <c r="BM44" s="104" t="str">
        <f t="shared" si="63"/>
        <v>0, N/A (0), Très peu mobile (solubilité), Non mobile (log Koc), Non volatil, N/A,EUROFINS</v>
      </c>
      <c r="BN44" s="17"/>
      <c r="BO44" s="17"/>
      <c r="BP44" s="17"/>
      <c r="BQ44" s="17"/>
      <c r="BR44" s="17"/>
      <c r="BS44" s="17"/>
      <c r="BT44" s="30">
        <v>0</v>
      </c>
      <c r="BU44" s="31" t="s">
        <v>31</v>
      </c>
      <c r="BV44" s="31" t="s">
        <v>1077</v>
      </c>
      <c r="BW44" s="31" t="s">
        <v>1080</v>
      </c>
      <c r="BX44" s="31" t="s">
        <v>1081</v>
      </c>
      <c r="BY44" s="31" t="s">
        <v>31</v>
      </c>
      <c r="BZ44" s="32" t="s">
        <v>341</v>
      </c>
      <c r="CA44" s="17"/>
      <c r="CB44" s="105"/>
      <c r="CC44" s="106">
        <v>0</v>
      </c>
      <c r="CD44" s="17"/>
      <c r="CE44" s="107">
        <f t="shared" si="53"/>
        <v>0</v>
      </c>
      <c r="CF44" s="108">
        <f t="shared" si="47"/>
        <v>0</v>
      </c>
      <c r="CG44" s="17"/>
      <c r="CH44" s="110" t="str">
        <f t="shared" si="48"/>
        <v>Catégorie 1</v>
      </c>
      <c r="CI44" s="111" t="str">
        <f t="shared" si="49"/>
        <v/>
      </c>
      <c r="CJ44" s="112" t="str">
        <f t="shared" si="54"/>
        <v/>
      </c>
      <c r="CK44" s="112" t="str">
        <f t="shared" si="55"/>
        <v/>
      </c>
      <c r="CL44" s="113" t="str">
        <f t="shared" si="56"/>
        <v/>
      </c>
      <c r="CM44" s="113" t="str">
        <f t="shared" si="57"/>
        <v/>
      </c>
      <c r="CN44" s="114" t="str">
        <f t="shared" si="58"/>
        <v/>
      </c>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23"/>
    </row>
    <row r="45" spans="1:121" s="19" customFormat="1" ht="30" customHeight="1" x14ac:dyDescent="0.35">
      <c r="A45" s="4" t="s">
        <v>586</v>
      </c>
      <c r="B45" s="10" t="s">
        <v>603</v>
      </c>
      <c r="C45" s="10" t="s">
        <v>604</v>
      </c>
      <c r="D45" s="10" t="s">
        <v>605</v>
      </c>
      <c r="E45" s="10" t="s">
        <v>606</v>
      </c>
      <c r="F45" s="10" t="s">
        <v>607</v>
      </c>
      <c r="G45" s="10" t="s">
        <v>608</v>
      </c>
      <c r="H45" s="10" t="s">
        <v>593</v>
      </c>
      <c r="I45" s="10" t="s">
        <v>594</v>
      </c>
      <c r="J45" s="11" t="s">
        <v>31</v>
      </c>
      <c r="K45" s="11"/>
      <c r="L45" s="11" t="s">
        <v>30</v>
      </c>
      <c r="M45" s="11"/>
      <c r="N45" s="11"/>
      <c r="O45" s="11"/>
      <c r="P45" s="11"/>
      <c r="Q45" s="11"/>
      <c r="R45" s="11" t="s">
        <v>31</v>
      </c>
      <c r="S45" s="11"/>
      <c r="T45" s="11" t="s">
        <v>609</v>
      </c>
      <c r="U45" s="11" t="s">
        <v>40</v>
      </c>
      <c r="V45" s="11" t="s">
        <v>701</v>
      </c>
      <c r="W45" s="11" t="s">
        <v>718</v>
      </c>
      <c r="X45" s="11" t="s">
        <v>735</v>
      </c>
      <c r="Y45" s="11" t="s">
        <v>752</v>
      </c>
      <c r="Z45" s="4"/>
      <c r="AA45" s="21">
        <f>LOG(990000)</f>
        <v>5.9956351945975497</v>
      </c>
      <c r="AB45" s="11" t="s">
        <v>768</v>
      </c>
      <c r="AC45" s="11" t="s">
        <v>783</v>
      </c>
      <c r="AD45" s="10"/>
      <c r="AE45" s="92" t="str" cm="1">
        <f t="array" ref="AE45">_xlfn.IFS(COUNTIF(Table14623[[#This Row],[PBT/ vPvB]],"*X*"), 20, TRUE, "")</f>
        <v/>
      </c>
      <c r="AF45" s="93" t="str" cm="1">
        <f t="array" ref="AF45">_xlfn.IFS(COUNTIF(Table14623[[#This Row],[Perturbateur Endocrinien]],"*X*"), 20, TRUE, "")</f>
        <v/>
      </c>
      <c r="AG45" s="93" t="str" cm="1">
        <f t="array" ref="AG45">_xlfn.IFS(COUNTIF(Table14623[[#This Row],[Phrases H]],"*H350*"), 20, TRUE, "")</f>
        <v/>
      </c>
      <c r="AH45" s="93" t="str" cm="1">
        <f t="array" ref="AH45">_xlfn.IFS(COUNTIF(Table14623[[#This Row],[Phrases H]],"*H360*"), 20, TRUE, "")</f>
        <v/>
      </c>
      <c r="AI45" s="93" t="str" cm="1">
        <f t="array" ref="AI45">_xlfn.IFS(COUNTIF(Table14623[[#This Row],[Phrases H]],"*H340*"), 20, TRUE, "")</f>
        <v/>
      </c>
      <c r="AJ45" s="93" t="str" cm="1">
        <f t="array" ref="AJ45">_xlfn.IFS(COUNTIF(Table14623[[#This Row],[Phrases H]],"*H351*"), 10, TRUE, "")</f>
        <v/>
      </c>
      <c r="AK45" s="93" t="str" cm="1">
        <f t="array" ref="AK45">_xlfn.IFS(COUNTIF(Table14623[[#This Row],[Phrases H]],"*H361*"), 10, TRUE, "")</f>
        <v/>
      </c>
      <c r="AL45" s="93" t="str" cm="1">
        <f t="array" ref="AL45">_xlfn.IFS(COUNTIF(Table14623[[#This Row],[Phrases H]],"*H362*"), 10, TRUE, "")</f>
        <v/>
      </c>
      <c r="AM45" s="93" cm="1">
        <f t="array" ref="AM45">_xlfn.IFS(COUNTIF(Table14623[[#This Row],[Phrases H]],"*H341*"), 10, TRUE, "")</f>
        <v>10</v>
      </c>
      <c r="AN45" s="93" t="str" cm="1">
        <f t="array" ref="AN45">_xlfn.IFS(COUNTIF(Table14623[[#This Row],[Phrases H]],"*H372*"), 10, TRUE, "")</f>
        <v/>
      </c>
      <c r="AO45" s="93" cm="1">
        <f t="array" ref="AO45">_xlfn.IFS(COUNTIF(Table14623[[#This Row],[Phrases H]],"*H410*"), 10, TRUE, "")</f>
        <v>10</v>
      </c>
      <c r="AP45" s="93" t="str" cm="1">
        <f t="array" ref="AP45">_xlfn.IFS(COUNTIF(Table14623[[#This Row],[Phrases H]],"*H373*"), 5, TRUE, "")</f>
        <v/>
      </c>
      <c r="AQ45" s="93" t="str" cm="1">
        <f t="array" ref="AQ45">_xlfn.IFS(COUNTIF(Table14623[[#This Row],[Phrases H]],"*H411*"), 5, TRUE, "")</f>
        <v/>
      </c>
      <c r="AR45" s="94">
        <f t="shared" si="64"/>
        <v>20</v>
      </c>
      <c r="AS45" s="95"/>
      <c r="AT45" s="144" t="s">
        <v>31</v>
      </c>
      <c r="AU45" s="97" t="s">
        <v>337</v>
      </c>
      <c r="AV45" s="98">
        <f t="shared" si="51"/>
        <v>0</v>
      </c>
      <c r="AW45" s="99" t="str">
        <f t="shared" si="52"/>
        <v>N/A</v>
      </c>
      <c r="AX45" s="95"/>
      <c r="AY45" s="100">
        <f t="shared" si="61"/>
        <v>20</v>
      </c>
      <c r="AZ45" s="17"/>
      <c r="BA45" s="144">
        <v>3.9999999999999998E-6</v>
      </c>
      <c r="BB45" s="101">
        <f t="shared" si="59"/>
        <v>10</v>
      </c>
      <c r="BC45" s="98" t="str">
        <f t="shared" si="60"/>
        <v>Très peu mobile</v>
      </c>
      <c r="BD45" s="101">
        <v>5.9956351945975497</v>
      </c>
      <c r="BE45" s="98" t="str">
        <f t="shared" si="62"/>
        <v>Non mobile</v>
      </c>
      <c r="BF45" s="101">
        <v>390.85</v>
      </c>
      <c r="BG45" s="101">
        <v>5.8629999999999996E-6</v>
      </c>
      <c r="BH45" s="101">
        <v>0.33200000000000002</v>
      </c>
      <c r="BI45" s="98" t="str">
        <f t="shared" si="46"/>
        <v>Non volatil</v>
      </c>
      <c r="BJ45" s="102" t="s">
        <v>31</v>
      </c>
      <c r="BK45" s="103" t="s">
        <v>341</v>
      </c>
      <c r="BL45" s="17"/>
      <c r="BM45" s="104" t="str">
        <f t="shared" si="63"/>
        <v>20, N/A (0), Très peu mobile (solubilité), Non mobile (log Koc), Non volatil, N/A,EUROFINS</v>
      </c>
      <c r="BN45" s="17"/>
      <c r="BO45" s="17"/>
      <c r="BP45" s="17"/>
      <c r="BQ45" s="17"/>
      <c r="BR45" s="17"/>
      <c r="BS45" s="17"/>
      <c r="BT45" s="30">
        <v>20</v>
      </c>
      <c r="BU45" s="31" t="s">
        <v>31</v>
      </c>
      <c r="BV45" s="31" t="s">
        <v>1077</v>
      </c>
      <c r="BW45" s="31" t="s">
        <v>1080</v>
      </c>
      <c r="BX45" s="31" t="s">
        <v>1081</v>
      </c>
      <c r="BY45" s="31" t="s">
        <v>31</v>
      </c>
      <c r="BZ45" s="32" t="s">
        <v>341</v>
      </c>
      <c r="CA45" s="17"/>
      <c r="CB45" s="105"/>
      <c r="CC45" s="106">
        <v>0</v>
      </c>
      <c r="CD45" s="17"/>
      <c r="CE45" s="107">
        <f t="shared" si="53"/>
        <v>18.666666666666668</v>
      </c>
      <c r="CF45" s="108">
        <f t="shared" si="47"/>
        <v>0.23628691983122366</v>
      </c>
      <c r="CG45" s="17"/>
      <c r="CH45" s="110" t="str">
        <f t="shared" si="48"/>
        <v>Catégorie 2</v>
      </c>
      <c r="CI45" s="111" t="str">
        <f t="shared" si="49"/>
        <v/>
      </c>
      <c r="CJ45" s="112" t="str">
        <f t="shared" si="54"/>
        <v/>
      </c>
      <c r="CK45" s="112" t="str">
        <f t="shared" si="55"/>
        <v/>
      </c>
      <c r="CL45" s="113" t="str">
        <f t="shared" si="56"/>
        <v/>
      </c>
      <c r="CM45" s="113" t="str">
        <f t="shared" si="57"/>
        <v/>
      </c>
      <c r="CN45" s="114" t="str">
        <f t="shared" si="58"/>
        <v/>
      </c>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row>
    <row r="46" spans="1:121" s="19" customFormat="1" ht="30" customHeight="1" x14ac:dyDescent="0.35">
      <c r="A46" s="4" t="s">
        <v>586</v>
      </c>
      <c r="B46" s="10" t="s">
        <v>610</v>
      </c>
      <c r="C46" s="10" t="s">
        <v>611</v>
      </c>
      <c r="D46" s="10" t="s">
        <v>612</v>
      </c>
      <c r="E46" s="10" t="s">
        <v>613</v>
      </c>
      <c r="F46" s="10" t="s">
        <v>607</v>
      </c>
      <c r="G46" s="10" t="s">
        <v>614</v>
      </c>
      <c r="H46" s="10" t="s">
        <v>593</v>
      </c>
      <c r="I46" s="10" t="s">
        <v>594</v>
      </c>
      <c r="J46" s="11" t="s">
        <v>31</v>
      </c>
      <c r="K46" s="11"/>
      <c r="L46" s="11" t="s">
        <v>30</v>
      </c>
      <c r="M46" s="11"/>
      <c r="N46" s="11"/>
      <c r="O46" s="11"/>
      <c r="P46" s="11"/>
      <c r="Q46" s="11"/>
      <c r="R46" s="11" t="s">
        <v>31</v>
      </c>
      <c r="S46" s="11"/>
      <c r="T46" s="11" t="s">
        <v>615</v>
      </c>
      <c r="U46" s="11" t="s">
        <v>40</v>
      </c>
      <c r="V46" s="11" t="s">
        <v>702</v>
      </c>
      <c r="W46" s="11" t="s">
        <v>719</v>
      </c>
      <c r="X46" s="11" t="s">
        <v>736</v>
      </c>
      <c r="Y46" s="11" t="s">
        <v>753</v>
      </c>
      <c r="Z46" s="4"/>
      <c r="AA46" s="21">
        <f>LOG(1070000)</f>
        <v>6.0293837776852097</v>
      </c>
      <c r="AB46" s="11" t="s">
        <v>769</v>
      </c>
      <c r="AC46" s="11" t="s">
        <v>784</v>
      </c>
      <c r="AD46" s="10"/>
      <c r="AE46" s="92" t="str" cm="1">
        <f t="array" ref="AE46">_xlfn.IFS(COUNTIF(Table14623[[#This Row],[PBT/ vPvB]],"*X*"), 20, TRUE, "")</f>
        <v/>
      </c>
      <c r="AF46" s="93" t="str" cm="1">
        <f t="array" ref="AF46">_xlfn.IFS(COUNTIF(Table14623[[#This Row],[Perturbateur Endocrinien]],"*X*"), 20, TRUE, "")</f>
        <v/>
      </c>
      <c r="AG46" s="93" t="str" cm="1">
        <f t="array" ref="AG46">_xlfn.IFS(COUNTIF(Table14623[[#This Row],[Phrases H]],"*H350*"), 20, TRUE, "")</f>
        <v/>
      </c>
      <c r="AH46" s="93" t="str" cm="1">
        <f t="array" ref="AH46">_xlfn.IFS(COUNTIF(Table14623[[#This Row],[Phrases H]],"*H360*"), 20, TRUE, "")</f>
        <v/>
      </c>
      <c r="AI46" s="93" t="str" cm="1">
        <f t="array" ref="AI46">_xlfn.IFS(COUNTIF(Table14623[[#This Row],[Phrases H]],"*H340*"), 20, TRUE, "")</f>
        <v/>
      </c>
      <c r="AJ46" s="93" t="str" cm="1">
        <f t="array" ref="AJ46">_xlfn.IFS(COUNTIF(Table14623[[#This Row],[Phrases H]],"*H351*"), 10, TRUE, "")</f>
        <v/>
      </c>
      <c r="AK46" s="93" t="str" cm="1">
        <f t="array" ref="AK46">_xlfn.IFS(COUNTIF(Table14623[[#This Row],[Phrases H]],"*H361*"), 10, TRUE, "")</f>
        <v/>
      </c>
      <c r="AL46" s="93" t="str" cm="1">
        <f t="array" ref="AL46">_xlfn.IFS(COUNTIF(Table14623[[#This Row],[Phrases H]],"*H362*"), 10, TRUE, "")</f>
        <v/>
      </c>
      <c r="AM46" s="93" t="str" cm="1">
        <f t="array" ref="AM46">_xlfn.IFS(COUNTIF(Table14623[[#This Row],[Phrases H]],"*H341*"), 10, TRUE, "")</f>
        <v/>
      </c>
      <c r="AN46" s="93" t="str" cm="1">
        <f t="array" ref="AN46">_xlfn.IFS(COUNTIF(Table14623[[#This Row],[Phrases H]],"*H372*"), 10, TRUE, "")</f>
        <v/>
      </c>
      <c r="AO46" s="93" cm="1">
        <f t="array" ref="AO46">_xlfn.IFS(COUNTIF(Table14623[[#This Row],[Phrases H]],"*H410*"), 10, TRUE, "")</f>
        <v>10</v>
      </c>
      <c r="AP46" s="93" t="str" cm="1">
        <f t="array" ref="AP46">_xlfn.IFS(COUNTIF(Table14623[[#This Row],[Phrases H]],"*H373*"), 5, TRUE, "")</f>
        <v/>
      </c>
      <c r="AQ46" s="93" t="str" cm="1">
        <f t="array" ref="AQ46">_xlfn.IFS(COUNTIF(Table14623[[#This Row],[Phrases H]],"*H411*"), 5, TRUE, "")</f>
        <v/>
      </c>
      <c r="AR46" s="94">
        <f t="shared" si="64"/>
        <v>10</v>
      </c>
      <c r="AS46" s="95"/>
      <c r="AT46" s="144" t="s">
        <v>31</v>
      </c>
      <c r="AU46" s="97" t="s">
        <v>337</v>
      </c>
      <c r="AV46" s="98">
        <f t="shared" si="51"/>
        <v>0</v>
      </c>
      <c r="AW46" s="99" t="str">
        <f t="shared" si="52"/>
        <v>N/A</v>
      </c>
      <c r="AX46" s="95"/>
      <c r="AY46" s="100">
        <f t="shared" si="61"/>
        <v>10</v>
      </c>
      <c r="AZ46" s="17"/>
      <c r="BA46" s="144">
        <v>6.3400000000000001E-4</v>
      </c>
      <c r="BB46" s="101">
        <f t="shared" si="59"/>
        <v>10</v>
      </c>
      <c r="BC46" s="98" t="str">
        <f t="shared" si="60"/>
        <v>Très peu mobile</v>
      </c>
      <c r="BD46" s="101">
        <v>6.0293837776852097</v>
      </c>
      <c r="BE46" s="98" t="str">
        <f t="shared" si="62"/>
        <v>Non mobile</v>
      </c>
      <c r="BF46" s="101">
        <v>390.86099999999999</v>
      </c>
      <c r="BG46" s="101">
        <v>1.3799999999999999E-6</v>
      </c>
      <c r="BH46" s="101">
        <v>701.178</v>
      </c>
      <c r="BI46" s="98" t="str">
        <f t="shared" si="46"/>
        <v>Non volatil</v>
      </c>
      <c r="BJ46" s="102" t="s">
        <v>31</v>
      </c>
      <c r="BK46" s="103" t="s">
        <v>341</v>
      </c>
      <c r="BL46" s="17"/>
      <c r="BM46" s="104" t="str">
        <f t="shared" si="63"/>
        <v>10, N/A (0), Très peu mobile (solubilité), Non mobile (log Koc), Non volatil, N/A,EUROFINS</v>
      </c>
      <c r="BN46" s="17"/>
      <c r="BO46" s="17"/>
      <c r="BP46" s="17"/>
      <c r="BQ46" s="17"/>
      <c r="BR46" s="17"/>
      <c r="BS46" s="17"/>
      <c r="BT46" s="30">
        <v>10</v>
      </c>
      <c r="BU46" s="31" t="s">
        <v>31</v>
      </c>
      <c r="BV46" s="31" t="s">
        <v>1077</v>
      </c>
      <c r="BW46" s="31" t="s">
        <v>1080</v>
      </c>
      <c r="BX46" s="31" t="s">
        <v>1081</v>
      </c>
      <c r="BY46" s="31" t="s">
        <v>31</v>
      </c>
      <c r="BZ46" s="32" t="s">
        <v>341</v>
      </c>
      <c r="CA46" s="17"/>
      <c r="CB46" s="105"/>
      <c r="CC46" s="106">
        <v>0</v>
      </c>
      <c r="CD46" s="17"/>
      <c r="CE46" s="107">
        <f t="shared" si="53"/>
        <v>9.3333333333333339</v>
      </c>
      <c r="CF46" s="108">
        <f t="shared" si="47"/>
        <v>0.11814345991561183</v>
      </c>
      <c r="CG46" s="17"/>
      <c r="CH46" s="110" t="str">
        <f t="shared" si="48"/>
        <v>Catégorie 1</v>
      </c>
      <c r="CI46" s="111" t="str">
        <f t="shared" si="49"/>
        <v/>
      </c>
      <c r="CJ46" s="112" t="str">
        <f t="shared" si="54"/>
        <v/>
      </c>
      <c r="CK46" s="112" t="str">
        <f t="shared" si="55"/>
        <v/>
      </c>
      <c r="CL46" s="113" t="str">
        <f t="shared" si="56"/>
        <v/>
      </c>
      <c r="CM46" s="113" t="str">
        <f t="shared" si="57"/>
        <v/>
      </c>
      <c r="CN46" s="114" t="str">
        <f t="shared" si="58"/>
        <v/>
      </c>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23"/>
    </row>
    <row r="47" spans="1:121" s="19" customFormat="1" ht="30" customHeight="1" x14ac:dyDescent="0.35">
      <c r="A47" s="4" t="s">
        <v>586</v>
      </c>
      <c r="B47" s="10" t="s">
        <v>616</v>
      </c>
      <c r="C47" s="10" t="s">
        <v>617</v>
      </c>
      <c r="D47" s="10" t="s">
        <v>618</v>
      </c>
      <c r="E47" s="10" t="s">
        <v>619</v>
      </c>
      <c r="F47" s="10" t="s">
        <v>607</v>
      </c>
      <c r="G47" s="10" t="s">
        <v>620</v>
      </c>
      <c r="H47" s="10" t="s">
        <v>593</v>
      </c>
      <c r="I47" s="10" t="s">
        <v>594</v>
      </c>
      <c r="J47" s="11" t="s">
        <v>31</v>
      </c>
      <c r="K47" s="11"/>
      <c r="L47" s="11" t="s">
        <v>30</v>
      </c>
      <c r="M47" s="11"/>
      <c r="N47" s="11"/>
      <c r="O47" s="11"/>
      <c r="P47" s="11"/>
      <c r="Q47" s="11"/>
      <c r="R47" s="11" t="s">
        <v>31</v>
      </c>
      <c r="S47" s="11"/>
      <c r="T47" s="11" t="s">
        <v>621</v>
      </c>
      <c r="U47" s="11" t="s">
        <v>40</v>
      </c>
      <c r="V47" s="11" t="s">
        <v>703</v>
      </c>
      <c r="W47" s="11" t="s">
        <v>720</v>
      </c>
      <c r="X47" s="11" t="s">
        <v>737</v>
      </c>
      <c r="Y47" s="11" t="s">
        <v>754</v>
      </c>
      <c r="Z47" s="4"/>
      <c r="AA47" s="21">
        <f>LOG(1740000)</f>
        <v>6.2405492482825995</v>
      </c>
      <c r="AB47" s="11" t="s">
        <v>770</v>
      </c>
      <c r="AC47" s="11" t="s">
        <v>784</v>
      </c>
      <c r="AD47" s="10"/>
      <c r="AE47" s="92" t="str" cm="1">
        <f t="array" ref="AE47">_xlfn.IFS(COUNTIF(Table14623[[#This Row],[PBT/ vPvB]],"*X*"), 20, TRUE, "")</f>
        <v/>
      </c>
      <c r="AF47" s="93" t="str" cm="1">
        <f t="array" ref="AF47">_xlfn.IFS(COUNTIF(Table14623[[#This Row],[Perturbateur Endocrinien]],"*X*"), 20, TRUE, "")</f>
        <v/>
      </c>
      <c r="AG47" s="93" t="str" cm="1">
        <f t="array" ref="AG47">_xlfn.IFS(COUNTIF(Table14623[[#This Row],[Phrases H]],"*H350*"), 20, TRUE, "")</f>
        <v/>
      </c>
      <c r="AH47" s="93" t="str" cm="1">
        <f t="array" ref="AH47">_xlfn.IFS(COUNTIF(Table14623[[#This Row],[Phrases H]],"*H360*"), 20, TRUE, "")</f>
        <v/>
      </c>
      <c r="AI47" s="93" t="str" cm="1">
        <f t="array" ref="AI47">_xlfn.IFS(COUNTIF(Table14623[[#This Row],[Phrases H]],"*H340*"), 20, TRUE, "")</f>
        <v/>
      </c>
      <c r="AJ47" s="93" t="str" cm="1">
        <f t="array" ref="AJ47">_xlfn.IFS(COUNTIF(Table14623[[#This Row],[Phrases H]],"*H351*"), 10, TRUE, "")</f>
        <v/>
      </c>
      <c r="AK47" s="93" t="str" cm="1">
        <f t="array" ref="AK47">_xlfn.IFS(COUNTIF(Table14623[[#This Row],[Phrases H]],"*H361*"), 10, TRUE, "")</f>
        <v/>
      </c>
      <c r="AL47" s="93" t="str" cm="1">
        <f t="array" ref="AL47">_xlfn.IFS(COUNTIF(Table14623[[#This Row],[Phrases H]],"*H362*"), 10, TRUE, "")</f>
        <v/>
      </c>
      <c r="AM47" s="93" t="str" cm="1">
        <f t="array" ref="AM47">_xlfn.IFS(COUNTIF(Table14623[[#This Row],[Phrases H]],"*H341*"), 10, TRUE, "")</f>
        <v/>
      </c>
      <c r="AN47" s="93" t="str" cm="1">
        <f t="array" ref="AN47">_xlfn.IFS(COUNTIF(Table14623[[#This Row],[Phrases H]],"*H372*"), 10, TRUE, "")</f>
        <v/>
      </c>
      <c r="AO47" s="93" t="str" cm="1">
        <f t="array" ref="AO47">_xlfn.IFS(COUNTIF(Table14623[[#This Row],[Phrases H]],"*H410*"), 10, TRUE, "")</f>
        <v/>
      </c>
      <c r="AP47" s="93" t="str" cm="1">
        <f t="array" ref="AP47">_xlfn.IFS(COUNTIF(Table14623[[#This Row],[Phrases H]],"*H373*"), 5, TRUE, "")</f>
        <v/>
      </c>
      <c r="AQ47" s="93" t="str" cm="1">
        <f t="array" ref="AQ47">_xlfn.IFS(COUNTIF(Table14623[[#This Row],[Phrases H]],"*H411*"), 5, TRUE, "")</f>
        <v/>
      </c>
      <c r="AR47" s="94">
        <f t="shared" si="64"/>
        <v>0</v>
      </c>
      <c r="AS47" s="95"/>
      <c r="AT47" s="144" t="s">
        <v>31</v>
      </c>
      <c r="AU47" s="97" t="s">
        <v>337</v>
      </c>
      <c r="AV47" s="98">
        <f t="shared" si="51"/>
        <v>0</v>
      </c>
      <c r="AW47" s="99" t="str">
        <f t="shared" si="52"/>
        <v>N/A</v>
      </c>
      <c r="AX47" s="95"/>
      <c r="AY47" s="100">
        <f t="shared" si="61"/>
        <v>0</v>
      </c>
      <c r="AZ47" s="17"/>
      <c r="BA47" s="144">
        <v>8.7500000000000002E-4</v>
      </c>
      <c r="BB47" s="101">
        <f t="shared" si="59"/>
        <v>10</v>
      </c>
      <c r="BC47" s="98" t="str">
        <f t="shared" si="60"/>
        <v>Très peu mobile</v>
      </c>
      <c r="BD47" s="101">
        <v>6.2405492482825995</v>
      </c>
      <c r="BE47" s="98" t="str">
        <f t="shared" si="62"/>
        <v>Non mobile</v>
      </c>
      <c r="BF47" s="101">
        <v>390.86099999999999</v>
      </c>
      <c r="BG47" s="101">
        <v>4.7939199999999998E-4</v>
      </c>
      <c r="BH47" s="101">
        <v>0.1925</v>
      </c>
      <c r="BI47" s="98" t="str">
        <f t="shared" si="46"/>
        <v>Non volatil</v>
      </c>
      <c r="BJ47" s="102" t="s">
        <v>31</v>
      </c>
      <c r="BK47" s="103" t="s">
        <v>341</v>
      </c>
      <c r="BL47" s="17"/>
      <c r="BM47" s="104" t="str">
        <f t="shared" si="63"/>
        <v>0, N/A (0), Très peu mobile (solubilité), Non mobile (log Koc), Non volatil, N/A,EUROFINS</v>
      </c>
      <c r="BN47" s="17"/>
      <c r="BO47" s="17"/>
      <c r="BP47" s="17"/>
      <c r="BQ47" s="17"/>
      <c r="BR47" s="17"/>
      <c r="BS47" s="17"/>
      <c r="BT47" s="30">
        <v>0</v>
      </c>
      <c r="BU47" s="31" t="s">
        <v>31</v>
      </c>
      <c r="BV47" s="31" t="s">
        <v>1077</v>
      </c>
      <c r="BW47" s="31" t="s">
        <v>1080</v>
      </c>
      <c r="BX47" s="31" t="s">
        <v>1081</v>
      </c>
      <c r="BY47" s="31" t="s">
        <v>31</v>
      </c>
      <c r="BZ47" s="32" t="s">
        <v>341</v>
      </c>
      <c r="CA47" s="17"/>
      <c r="CB47" s="105"/>
      <c r="CC47" s="106">
        <v>0</v>
      </c>
      <c r="CD47" s="17"/>
      <c r="CE47" s="107">
        <f t="shared" si="53"/>
        <v>0</v>
      </c>
      <c r="CF47" s="108">
        <f t="shared" si="47"/>
        <v>0</v>
      </c>
      <c r="CG47" s="17"/>
      <c r="CH47" s="110" t="str">
        <f t="shared" si="48"/>
        <v>Catégorie 1</v>
      </c>
      <c r="CI47" s="111" t="str">
        <f t="shared" si="49"/>
        <v/>
      </c>
      <c r="CJ47" s="112" t="str">
        <f t="shared" si="54"/>
        <v/>
      </c>
      <c r="CK47" s="112" t="str">
        <f t="shared" si="55"/>
        <v/>
      </c>
      <c r="CL47" s="113" t="str">
        <f t="shared" si="56"/>
        <v/>
      </c>
      <c r="CM47" s="113" t="str">
        <f t="shared" si="57"/>
        <v/>
      </c>
      <c r="CN47" s="114" t="str">
        <f t="shared" si="58"/>
        <v/>
      </c>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row>
    <row r="48" spans="1:121" s="19" customFormat="1" ht="30" customHeight="1" x14ac:dyDescent="0.35">
      <c r="A48" s="4" t="s">
        <v>586</v>
      </c>
      <c r="B48" s="10" t="s">
        <v>622</v>
      </c>
      <c r="C48" s="10" t="s">
        <v>623</v>
      </c>
      <c r="D48" s="10" t="s">
        <v>624</v>
      </c>
      <c r="E48" s="10" t="s">
        <v>625</v>
      </c>
      <c r="F48" s="10" t="s">
        <v>626</v>
      </c>
      <c r="G48" s="10" t="s">
        <v>627</v>
      </c>
      <c r="H48" s="10" t="s">
        <v>593</v>
      </c>
      <c r="I48" s="10" t="s">
        <v>594</v>
      </c>
      <c r="J48" s="11" t="s">
        <v>31</v>
      </c>
      <c r="K48" s="11"/>
      <c r="L48" s="11" t="s">
        <v>30</v>
      </c>
      <c r="M48" s="11"/>
      <c r="N48" s="11"/>
      <c r="O48" s="11"/>
      <c r="P48" s="11"/>
      <c r="Q48" s="11"/>
      <c r="R48" s="11" t="s">
        <v>31</v>
      </c>
      <c r="S48" s="11"/>
      <c r="T48" s="11" t="s">
        <v>628</v>
      </c>
      <c r="U48" s="11" t="s">
        <v>40</v>
      </c>
      <c r="V48" s="11" t="s">
        <v>704</v>
      </c>
      <c r="W48" s="11" t="s">
        <v>721</v>
      </c>
      <c r="X48" s="11" t="s">
        <v>738</v>
      </c>
      <c r="Y48" s="11" t="s">
        <v>755</v>
      </c>
      <c r="Z48" s="4"/>
      <c r="AA48" s="21">
        <f>LOG(1700000)</f>
        <v>6.2304489213782741</v>
      </c>
      <c r="AB48" s="11" t="s">
        <v>771</v>
      </c>
      <c r="AC48" s="11" t="s">
        <v>785</v>
      </c>
      <c r="AD48" s="10"/>
      <c r="AE48" s="92" t="str" cm="1">
        <f t="array" ref="AE48">_xlfn.IFS(COUNTIF(Table14623[[#This Row],[PBT/ vPvB]],"*X*"), 20, TRUE, "")</f>
        <v/>
      </c>
      <c r="AF48" s="93" t="str" cm="1">
        <f t="array" ref="AF48">_xlfn.IFS(COUNTIF(Table14623[[#This Row],[Perturbateur Endocrinien]],"*X*"), 20, TRUE, "")</f>
        <v/>
      </c>
      <c r="AG48" s="93" t="str" cm="1">
        <f t="array" ref="AG48">_xlfn.IFS(COUNTIF(Table14623[[#This Row],[Phrases H]],"*H350*"), 20, TRUE, "")</f>
        <v/>
      </c>
      <c r="AH48" s="93" t="str" cm="1">
        <f t="array" ref="AH48">_xlfn.IFS(COUNTIF(Table14623[[#This Row],[Phrases H]],"*H360*"), 20, TRUE, "")</f>
        <v/>
      </c>
      <c r="AI48" s="93" t="str" cm="1">
        <f t="array" ref="AI48">_xlfn.IFS(COUNTIF(Table14623[[#This Row],[Phrases H]],"*H340*"), 20, TRUE, "")</f>
        <v/>
      </c>
      <c r="AJ48" s="93" t="str" cm="1">
        <f t="array" ref="AJ48">_xlfn.IFS(COUNTIF(Table14623[[#This Row],[Phrases H]],"*H351*"), 10, TRUE, "")</f>
        <v/>
      </c>
      <c r="AK48" s="93" t="str" cm="1">
        <f t="array" ref="AK48">_xlfn.IFS(COUNTIF(Table14623[[#This Row],[Phrases H]],"*H361*"), 10, TRUE, "")</f>
        <v/>
      </c>
      <c r="AL48" s="93" t="str" cm="1">
        <f t="array" ref="AL48">_xlfn.IFS(COUNTIF(Table14623[[#This Row],[Phrases H]],"*H362*"), 10, TRUE, "")</f>
        <v/>
      </c>
      <c r="AM48" s="93" cm="1">
        <f t="array" ref="AM48">_xlfn.IFS(COUNTIF(Table14623[[#This Row],[Phrases H]],"*H341*"), 10, TRUE, "")</f>
        <v>10</v>
      </c>
      <c r="AN48" s="93" t="str" cm="1">
        <f t="array" ref="AN48">_xlfn.IFS(COUNTIF(Table14623[[#This Row],[Phrases H]],"*H372*"), 10, TRUE, "")</f>
        <v/>
      </c>
      <c r="AO48" s="93" cm="1">
        <f t="array" ref="AO48">_xlfn.IFS(COUNTIF(Table14623[[#This Row],[Phrases H]],"*H410*"), 10, TRUE, "")</f>
        <v>10</v>
      </c>
      <c r="AP48" s="93" t="str" cm="1">
        <f t="array" ref="AP48">_xlfn.IFS(COUNTIF(Table14623[[#This Row],[Phrases H]],"*H373*"), 5, TRUE, "")</f>
        <v/>
      </c>
      <c r="AQ48" s="93" t="str" cm="1">
        <f t="array" ref="AQ48">_xlfn.IFS(COUNTIF(Table14623[[#This Row],[Phrases H]],"*H411*"), 5, TRUE, "")</f>
        <v/>
      </c>
      <c r="AR48" s="94">
        <f t="shared" si="64"/>
        <v>20</v>
      </c>
      <c r="AS48" s="95"/>
      <c r="AT48" s="144" t="s">
        <v>31</v>
      </c>
      <c r="AU48" s="97" t="s">
        <v>337</v>
      </c>
      <c r="AV48" s="98">
        <f t="shared" si="51"/>
        <v>0</v>
      </c>
      <c r="AW48" s="99" t="str">
        <f t="shared" si="52"/>
        <v>N/A</v>
      </c>
      <c r="AX48" s="95"/>
      <c r="AY48" s="100">
        <f t="shared" si="61"/>
        <v>20</v>
      </c>
      <c r="AZ48" s="17"/>
      <c r="BA48" s="144">
        <v>1.9E-3</v>
      </c>
      <c r="BB48" s="101">
        <f t="shared" si="59"/>
        <v>10</v>
      </c>
      <c r="BC48" s="98" t="str">
        <f t="shared" si="60"/>
        <v>Très peu mobile</v>
      </c>
      <c r="BD48" s="101">
        <v>6.2304489213782741</v>
      </c>
      <c r="BE48" s="98" t="str">
        <f t="shared" si="62"/>
        <v>Non mobile</v>
      </c>
      <c r="BF48" s="101">
        <v>425.29</v>
      </c>
      <c r="BG48" s="101">
        <v>4.4100000000000003E-9</v>
      </c>
      <c r="BH48" s="101">
        <v>0.13300000000000001</v>
      </c>
      <c r="BI48" s="98" t="str">
        <f t="shared" si="46"/>
        <v>Non volatil</v>
      </c>
      <c r="BJ48" s="102" t="s">
        <v>31</v>
      </c>
      <c r="BK48" s="103" t="s">
        <v>341</v>
      </c>
      <c r="BL48" s="17"/>
      <c r="BM48" s="104" t="str">
        <f t="shared" si="63"/>
        <v>20, N/A (0), Très peu mobile (solubilité), Non mobile (log Koc), Non volatil, N/A,EUROFINS</v>
      </c>
      <c r="BN48" s="17"/>
      <c r="BO48" s="17"/>
      <c r="BP48" s="17"/>
      <c r="BQ48" s="17"/>
      <c r="BR48" s="17"/>
      <c r="BS48" s="17"/>
      <c r="BT48" s="30">
        <v>20</v>
      </c>
      <c r="BU48" s="31" t="s">
        <v>31</v>
      </c>
      <c r="BV48" s="31" t="s">
        <v>1077</v>
      </c>
      <c r="BW48" s="31" t="s">
        <v>1080</v>
      </c>
      <c r="BX48" s="31" t="s">
        <v>1081</v>
      </c>
      <c r="BY48" s="31" t="s">
        <v>31</v>
      </c>
      <c r="BZ48" s="32" t="s">
        <v>341</v>
      </c>
      <c r="CA48" s="17"/>
      <c r="CB48" s="105"/>
      <c r="CC48" s="106">
        <v>0</v>
      </c>
      <c r="CD48" s="17"/>
      <c r="CE48" s="107">
        <f t="shared" si="53"/>
        <v>18.666666666666668</v>
      </c>
      <c r="CF48" s="108">
        <f t="shared" si="47"/>
        <v>0.23628691983122366</v>
      </c>
      <c r="CG48" s="17"/>
      <c r="CH48" s="110" t="str">
        <f t="shared" si="48"/>
        <v>Catégorie 2</v>
      </c>
      <c r="CI48" s="111" t="str">
        <f t="shared" si="49"/>
        <v/>
      </c>
      <c r="CJ48" s="112" t="str">
        <f t="shared" si="54"/>
        <v/>
      </c>
      <c r="CK48" s="112" t="str">
        <f t="shared" si="55"/>
        <v/>
      </c>
      <c r="CL48" s="113" t="str">
        <f t="shared" si="56"/>
        <v/>
      </c>
      <c r="CM48" s="113" t="str">
        <f t="shared" si="57"/>
        <v/>
      </c>
      <c r="CN48" s="114" t="str">
        <f t="shared" si="58"/>
        <v/>
      </c>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23"/>
    </row>
    <row r="49" spans="1:121" s="19" customFormat="1" ht="30" customHeight="1" x14ac:dyDescent="0.35">
      <c r="A49" s="4" t="s">
        <v>586</v>
      </c>
      <c r="B49" s="10" t="s">
        <v>629</v>
      </c>
      <c r="C49" s="10" t="s">
        <v>630</v>
      </c>
      <c r="D49" s="10" t="s">
        <v>631</v>
      </c>
      <c r="E49" s="10" t="s">
        <v>632</v>
      </c>
      <c r="F49" s="10" t="s">
        <v>633</v>
      </c>
      <c r="G49" s="10" t="s">
        <v>634</v>
      </c>
      <c r="H49" s="10" t="s">
        <v>593</v>
      </c>
      <c r="I49" s="10" t="s">
        <v>594</v>
      </c>
      <c r="J49" s="11" t="s">
        <v>31</v>
      </c>
      <c r="K49" s="11"/>
      <c r="L49" s="11" t="s">
        <v>30</v>
      </c>
      <c r="M49" s="11"/>
      <c r="N49" s="11"/>
      <c r="O49" s="11"/>
      <c r="P49" s="11"/>
      <c r="Q49" s="11"/>
      <c r="R49" s="11" t="s">
        <v>31</v>
      </c>
      <c r="S49" s="11"/>
      <c r="T49" s="11" t="s">
        <v>635</v>
      </c>
      <c r="U49" s="11" t="s">
        <v>40</v>
      </c>
      <c r="V49" s="11" t="s">
        <v>705</v>
      </c>
      <c r="W49" s="11" t="s">
        <v>722</v>
      </c>
      <c r="X49" s="11" t="s">
        <v>739</v>
      </c>
      <c r="Y49" s="11" t="s">
        <v>756</v>
      </c>
      <c r="Z49" s="4"/>
      <c r="AA49" s="21">
        <f>LOG(55500)</f>
        <v>4.7442929831226763</v>
      </c>
      <c r="AB49" s="11" t="s">
        <v>772</v>
      </c>
      <c r="AC49" s="11" t="s">
        <v>786</v>
      </c>
      <c r="AD49" s="10"/>
      <c r="AE49" s="92" t="str" cm="1">
        <f t="array" ref="AE49">_xlfn.IFS(COUNTIF(Table14623[[#This Row],[PBT/ vPvB]],"*X*"), 20, TRUE, "")</f>
        <v/>
      </c>
      <c r="AF49" s="93" t="str" cm="1">
        <f t="array" ref="AF49">_xlfn.IFS(COUNTIF(Table14623[[#This Row],[Perturbateur Endocrinien]],"*X*"), 20, TRUE, "")</f>
        <v/>
      </c>
      <c r="AG49" s="93" t="str" cm="1">
        <f t="array" ref="AG49">_xlfn.IFS(COUNTIF(Table14623[[#This Row],[Phrases H]],"*H350*"), 20, TRUE, "")</f>
        <v/>
      </c>
      <c r="AH49" s="93" t="str" cm="1">
        <f t="array" ref="AH49">_xlfn.IFS(COUNTIF(Table14623[[#This Row],[Phrases H]],"*H360*"), 20, TRUE, "")</f>
        <v/>
      </c>
      <c r="AI49" s="93" t="str" cm="1">
        <f t="array" ref="AI49">_xlfn.IFS(COUNTIF(Table14623[[#This Row],[Phrases H]],"*H340*"), 20, TRUE, "")</f>
        <v/>
      </c>
      <c r="AJ49" s="93" t="str" cm="1">
        <f t="array" ref="AJ49">_xlfn.IFS(COUNTIF(Table14623[[#This Row],[Phrases H]],"*H351*"), 10, TRUE, "")</f>
        <v/>
      </c>
      <c r="AK49" s="93" t="str" cm="1">
        <f t="array" ref="AK49">_xlfn.IFS(COUNTIF(Table14623[[#This Row],[Phrases H]],"*H361*"), 10, TRUE, "")</f>
        <v/>
      </c>
      <c r="AL49" s="93" t="str" cm="1">
        <f t="array" ref="AL49">_xlfn.IFS(COUNTIF(Table14623[[#This Row],[Phrases H]],"*H362*"), 10, TRUE, "")</f>
        <v/>
      </c>
      <c r="AM49" s="93" t="str" cm="1">
        <f t="array" ref="AM49">_xlfn.IFS(COUNTIF(Table14623[[#This Row],[Phrases H]],"*H341*"), 10, TRUE, "")</f>
        <v/>
      </c>
      <c r="AN49" s="93" t="str" cm="1">
        <f t="array" ref="AN49">_xlfn.IFS(COUNTIF(Table14623[[#This Row],[Phrases H]],"*H372*"), 10, TRUE, "")</f>
        <v/>
      </c>
      <c r="AO49" s="93" cm="1">
        <f t="array" ref="AO49">_xlfn.IFS(COUNTIF(Table14623[[#This Row],[Phrases H]],"*H410*"), 10, TRUE, "")</f>
        <v>10</v>
      </c>
      <c r="AP49" s="93" t="str" cm="1">
        <f t="array" ref="AP49">_xlfn.IFS(COUNTIF(Table14623[[#This Row],[Phrases H]],"*H373*"), 5, TRUE, "")</f>
        <v/>
      </c>
      <c r="AQ49" s="93" t="str" cm="1">
        <f t="array" ref="AQ49">_xlfn.IFS(COUNTIF(Table14623[[#This Row],[Phrases H]],"*H411*"), 5, TRUE, "")</f>
        <v/>
      </c>
      <c r="AR49" s="94">
        <f t="shared" si="64"/>
        <v>10</v>
      </c>
      <c r="AS49" s="95"/>
      <c r="AT49" s="144" t="s">
        <v>31</v>
      </c>
      <c r="AU49" s="97" t="s">
        <v>337</v>
      </c>
      <c r="AV49" s="98">
        <f t="shared" si="51"/>
        <v>0</v>
      </c>
      <c r="AW49" s="99" t="str">
        <f t="shared" si="52"/>
        <v>N/A</v>
      </c>
      <c r="AX49" s="95"/>
      <c r="AY49" s="100">
        <f t="shared" si="61"/>
        <v>10</v>
      </c>
      <c r="AZ49" s="17"/>
      <c r="BA49" s="144">
        <v>3.9999999999999998E-7</v>
      </c>
      <c r="BB49" s="101">
        <f t="shared" si="59"/>
        <v>10</v>
      </c>
      <c r="BC49" s="98" t="str">
        <f t="shared" si="60"/>
        <v>Très peu mobile</v>
      </c>
      <c r="BD49" s="101">
        <v>4.7442929831226763</v>
      </c>
      <c r="BE49" s="98" t="str">
        <f>IF(BD49="N/A","N/A",IF(BD49&lt;2,"Très mobile",IF(BD49&lt;3,"Mobile","Non mobile")))</f>
        <v>Non mobile</v>
      </c>
      <c r="BF49" s="101">
        <v>459.7</v>
      </c>
      <c r="BG49" s="101">
        <v>1E-10</v>
      </c>
      <c r="BH49" s="101">
        <v>0.67900000000000005</v>
      </c>
      <c r="BI49" s="98" t="str">
        <f t="shared" si="46"/>
        <v>Non volatil</v>
      </c>
      <c r="BJ49" s="102" t="s">
        <v>31</v>
      </c>
      <c r="BK49" s="103" t="s">
        <v>341</v>
      </c>
      <c r="BL49" s="17"/>
      <c r="BM49" s="104" t="str">
        <f t="shared" si="63"/>
        <v>10, N/A (0), Très peu mobile (solubilité), Non mobile (log Koc), Non volatil, N/A,EUROFINS</v>
      </c>
      <c r="BN49" s="17"/>
      <c r="BO49" s="17"/>
      <c r="BP49" s="17"/>
      <c r="BQ49" s="17"/>
      <c r="BR49" s="17"/>
      <c r="BS49" s="17"/>
      <c r="BT49" s="30">
        <v>10</v>
      </c>
      <c r="BU49" s="31" t="s">
        <v>31</v>
      </c>
      <c r="BV49" s="31" t="s">
        <v>1077</v>
      </c>
      <c r="BW49" s="31" t="s">
        <v>1080</v>
      </c>
      <c r="BX49" s="31" t="s">
        <v>1081</v>
      </c>
      <c r="BY49" s="31" t="s">
        <v>31</v>
      </c>
      <c r="BZ49" s="32" t="s">
        <v>341</v>
      </c>
      <c r="CA49" s="17"/>
      <c r="CB49" s="105"/>
      <c r="CC49" s="106">
        <v>0</v>
      </c>
      <c r="CD49" s="17"/>
      <c r="CE49" s="107">
        <f t="shared" si="53"/>
        <v>9.3333333333333339</v>
      </c>
      <c r="CF49" s="108">
        <f t="shared" si="47"/>
        <v>0.11814345991561183</v>
      </c>
      <c r="CG49" s="17"/>
      <c r="CH49" s="110" t="str">
        <f t="shared" si="48"/>
        <v>Catégorie 1</v>
      </c>
      <c r="CI49" s="111" t="str">
        <f t="shared" si="49"/>
        <v/>
      </c>
      <c r="CJ49" s="112" t="str">
        <f t="shared" si="54"/>
        <v/>
      </c>
      <c r="CK49" s="112" t="str">
        <f t="shared" si="55"/>
        <v/>
      </c>
      <c r="CL49" s="113" t="str">
        <f t="shared" si="56"/>
        <v/>
      </c>
      <c r="CM49" s="113" t="str">
        <f t="shared" si="57"/>
        <v/>
      </c>
      <c r="CN49" s="114" t="str">
        <f t="shared" si="58"/>
        <v/>
      </c>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row>
    <row r="50" spans="1:121" s="19" customFormat="1" ht="30" customHeight="1" x14ac:dyDescent="0.35">
      <c r="A50" s="4" t="s">
        <v>586</v>
      </c>
      <c r="B50" s="10" t="s">
        <v>636</v>
      </c>
      <c r="C50" s="10" t="s">
        <v>637</v>
      </c>
      <c r="D50" s="10" t="s">
        <v>638</v>
      </c>
      <c r="E50" s="10" t="s">
        <v>639</v>
      </c>
      <c r="F50" s="10" t="s">
        <v>640</v>
      </c>
      <c r="G50" s="10" t="s">
        <v>641</v>
      </c>
      <c r="H50" s="10" t="s">
        <v>642</v>
      </c>
      <c r="I50" s="10" t="s">
        <v>643</v>
      </c>
      <c r="J50" s="11" t="s">
        <v>31</v>
      </c>
      <c r="K50" s="11"/>
      <c r="L50" s="11" t="s">
        <v>30</v>
      </c>
      <c r="M50" s="11"/>
      <c r="N50" s="11"/>
      <c r="O50" s="11"/>
      <c r="P50" s="11"/>
      <c r="Q50" s="11"/>
      <c r="R50" s="11" t="s">
        <v>31</v>
      </c>
      <c r="S50" s="11"/>
      <c r="T50" s="11" t="s">
        <v>644</v>
      </c>
      <c r="U50" s="11" t="s">
        <v>40</v>
      </c>
      <c r="V50" s="11" t="s">
        <v>706</v>
      </c>
      <c r="W50" s="11" t="s">
        <v>723</v>
      </c>
      <c r="X50" s="11" t="s">
        <v>740</v>
      </c>
      <c r="Y50" s="11" t="s">
        <v>757</v>
      </c>
      <c r="Z50" s="4"/>
      <c r="AA50" s="21">
        <v>6.62</v>
      </c>
      <c r="AB50" s="11" t="s">
        <v>773</v>
      </c>
      <c r="AC50" s="11" t="s">
        <v>787</v>
      </c>
      <c r="AD50" s="10"/>
      <c r="AE50" s="92" t="str" cm="1">
        <f t="array" ref="AE50">_xlfn.IFS(COUNTIF(Table14623[[#This Row],[PBT/ vPvB]],"*X*"), 20, TRUE, "")</f>
        <v/>
      </c>
      <c r="AF50" s="93" t="str" cm="1">
        <f t="array" ref="AF50">_xlfn.IFS(COUNTIF(Table14623[[#This Row],[Perturbateur Endocrinien]],"*X*"), 20, TRUE, "")</f>
        <v/>
      </c>
      <c r="AG50" s="93" t="str" cm="1">
        <f t="array" ref="AG50">_xlfn.IFS(COUNTIF(Table14623[[#This Row],[Phrases H]],"*H350*"), 20, TRUE, "")</f>
        <v/>
      </c>
      <c r="AH50" s="93" t="str" cm="1">
        <f t="array" ref="AH50">_xlfn.IFS(COUNTIF(Table14623[[#This Row],[Phrases H]],"*H360*"), 20, TRUE, "")</f>
        <v/>
      </c>
      <c r="AI50" s="93" t="str" cm="1">
        <f t="array" ref="AI50">_xlfn.IFS(COUNTIF(Table14623[[#This Row],[Phrases H]],"*H340*"), 20, TRUE, "")</f>
        <v/>
      </c>
      <c r="AJ50" s="93" t="str" cm="1">
        <f t="array" ref="AJ50">_xlfn.IFS(COUNTIF(Table14623[[#This Row],[Phrases H]],"*H351*"), 10, TRUE, "")</f>
        <v/>
      </c>
      <c r="AK50" s="93" t="str" cm="1">
        <f t="array" ref="AK50">_xlfn.IFS(COUNTIF(Table14623[[#This Row],[Phrases H]],"*H361*"), 10, TRUE, "")</f>
        <v/>
      </c>
      <c r="AL50" s="93" t="str" cm="1">
        <f t="array" ref="AL50">_xlfn.IFS(COUNTIF(Table14623[[#This Row],[Phrases H]],"*H362*"), 10, TRUE, "")</f>
        <v/>
      </c>
      <c r="AM50" s="93" t="str" cm="1">
        <f t="array" ref="AM50">_xlfn.IFS(COUNTIF(Table14623[[#This Row],[Phrases H]],"*H341*"), 10, TRUE, "")</f>
        <v/>
      </c>
      <c r="AN50" s="93" t="str" cm="1">
        <f t="array" ref="AN50">_xlfn.IFS(COUNTIF(Table14623[[#This Row],[Phrases H]],"*H372*"), 10, TRUE, "")</f>
        <v/>
      </c>
      <c r="AO50" s="93" t="str" cm="1">
        <f t="array" ref="AO50">_xlfn.IFS(COUNTIF(Table14623[[#This Row],[Phrases H]],"*H410*"), 10, TRUE, "")</f>
        <v/>
      </c>
      <c r="AP50" s="93" t="str" cm="1">
        <f t="array" ref="AP50">_xlfn.IFS(COUNTIF(Table14623[[#This Row],[Phrases H]],"*H373*"), 5, TRUE, "")</f>
        <v/>
      </c>
      <c r="AQ50" s="93" cm="1">
        <f t="array" ref="AQ50">_xlfn.IFS(COUNTIF(Table14623[[#This Row],[Phrases H]],"*H411*"), 5, TRUE, "")</f>
        <v>5</v>
      </c>
      <c r="AR50" s="94">
        <f t="shared" si="64"/>
        <v>5</v>
      </c>
      <c r="AS50" s="95"/>
      <c r="AT50" s="144" t="s">
        <v>31</v>
      </c>
      <c r="AU50" s="97" t="s">
        <v>337</v>
      </c>
      <c r="AV50" s="98">
        <f t="shared" si="51"/>
        <v>0</v>
      </c>
      <c r="AW50" s="99" t="str">
        <f t="shared" si="52"/>
        <v>N/A</v>
      </c>
      <c r="AX50" s="95"/>
      <c r="AY50" s="100">
        <f t="shared" si="61"/>
        <v>5</v>
      </c>
      <c r="AZ50" s="17"/>
      <c r="BA50" s="144">
        <v>3.5100000000000001E-3</v>
      </c>
      <c r="BB50" s="101">
        <f t="shared" si="59"/>
        <v>10</v>
      </c>
      <c r="BC50" s="98" t="str">
        <f t="shared" si="60"/>
        <v>Très peu mobile</v>
      </c>
      <c r="BD50" s="101">
        <v>6.62</v>
      </c>
      <c r="BE50" s="98" t="str">
        <f t="shared" si="62"/>
        <v>Non mobile</v>
      </c>
      <c r="BF50" s="101">
        <v>305.97800000000001</v>
      </c>
      <c r="BG50" s="101">
        <v>2.043216E-4</v>
      </c>
      <c r="BH50" s="101">
        <v>1.5</v>
      </c>
      <c r="BI50" s="98" t="str">
        <f t="shared" si="46"/>
        <v>Non volatil</v>
      </c>
      <c r="BJ50" s="102" t="s">
        <v>31</v>
      </c>
      <c r="BK50" s="103" t="s">
        <v>341</v>
      </c>
      <c r="BL50" s="17"/>
      <c r="BM50" s="104" t="str">
        <f t="shared" si="63"/>
        <v>5, N/A (0), Très peu mobile (solubilité), Non mobile (log Koc), Non volatil, N/A,EUROFINS</v>
      </c>
      <c r="BN50" s="17"/>
      <c r="BO50" s="17"/>
      <c r="BP50" s="17"/>
      <c r="BQ50" s="17"/>
      <c r="BR50" s="17"/>
      <c r="BS50" s="17"/>
      <c r="BT50" s="30">
        <v>5</v>
      </c>
      <c r="BU50" s="31" t="s">
        <v>31</v>
      </c>
      <c r="BV50" s="31" t="s">
        <v>1077</v>
      </c>
      <c r="BW50" s="31" t="s">
        <v>1080</v>
      </c>
      <c r="BX50" s="31" t="s">
        <v>1081</v>
      </c>
      <c r="BY50" s="31" t="s">
        <v>31</v>
      </c>
      <c r="BZ50" s="32" t="s">
        <v>341</v>
      </c>
      <c r="CA50" s="17"/>
      <c r="CB50" s="105" t="s">
        <v>392</v>
      </c>
      <c r="CC50" s="106">
        <v>1</v>
      </c>
      <c r="CD50" s="17"/>
      <c r="CE50" s="107">
        <f t="shared" si="53"/>
        <v>9.6666666666666679</v>
      </c>
      <c r="CF50" s="108">
        <f t="shared" si="47"/>
        <v>0.12236286919831225</v>
      </c>
      <c r="CG50" s="17"/>
      <c r="CH50" s="110" t="str">
        <f t="shared" si="48"/>
        <v>Catégorie 1</v>
      </c>
      <c r="CI50" s="111" t="str">
        <f t="shared" si="49"/>
        <v/>
      </c>
      <c r="CJ50" s="112" t="str">
        <f t="shared" si="54"/>
        <v/>
      </c>
      <c r="CK50" s="112" t="str">
        <f t="shared" si="55"/>
        <v/>
      </c>
      <c r="CL50" s="113" t="str">
        <f t="shared" si="56"/>
        <v/>
      </c>
      <c r="CM50" s="113" t="str">
        <f t="shared" si="57"/>
        <v/>
      </c>
      <c r="CN50" s="114" t="str">
        <f t="shared" si="58"/>
        <v/>
      </c>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23"/>
    </row>
    <row r="51" spans="1:121" s="19" customFormat="1" ht="30" customHeight="1" x14ac:dyDescent="0.35">
      <c r="A51" s="4" t="s">
        <v>586</v>
      </c>
      <c r="B51" s="10" t="s">
        <v>645</v>
      </c>
      <c r="C51" s="10" t="s">
        <v>646</v>
      </c>
      <c r="D51" s="10" t="s">
        <v>647</v>
      </c>
      <c r="E51" s="10" t="s">
        <v>648</v>
      </c>
      <c r="F51" s="10" t="s">
        <v>649</v>
      </c>
      <c r="G51" s="10" t="s">
        <v>650</v>
      </c>
      <c r="H51" s="10" t="s">
        <v>642</v>
      </c>
      <c r="I51" s="10" t="s">
        <v>643</v>
      </c>
      <c r="J51" s="11" t="s">
        <v>31</v>
      </c>
      <c r="K51" s="11"/>
      <c r="L51" s="11" t="s">
        <v>30</v>
      </c>
      <c r="M51" s="11"/>
      <c r="N51" s="11"/>
      <c r="O51" s="11"/>
      <c r="P51" s="11"/>
      <c r="Q51" s="11"/>
      <c r="R51" s="11" t="s">
        <v>31</v>
      </c>
      <c r="S51" s="11"/>
      <c r="T51" s="11" t="s">
        <v>651</v>
      </c>
      <c r="U51" s="11" t="s">
        <v>52</v>
      </c>
      <c r="V51" s="11" t="s">
        <v>707</v>
      </c>
      <c r="W51" s="11" t="s">
        <v>724</v>
      </c>
      <c r="X51" s="11" t="s">
        <v>741</v>
      </c>
      <c r="Y51" s="11" t="s">
        <v>758</v>
      </c>
      <c r="Z51" s="4"/>
      <c r="AA51" s="21">
        <f>LOG(621000)</f>
        <v>5.79309160017658</v>
      </c>
      <c r="AB51" s="11" t="s">
        <v>774</v>
      </c>
      <c r="AC51" s="11" t="s">
        <v>788</v>
      </c>
      <c r="AD51" s="10"/>
      <c r="AE51" s="92" t="str" cm="1">
        <f t="array" ref="AE51">_xlfn.IFS(COUNTIF(Table14623[[#This Row],[PBT/ vPvB]],"*X*"), 20, TRUE, "")</f>
        <v/>
      </c>
      <c r="AF51" s="93" t="str" cm="1">
        <f t="array" ref="AF51">_xlfn.IFS(COUNTIF(Table14623[[#This Row],[Perturbateur Endocrinien]],"*X*"), 20, TRUE, "")</f>
        <v/>
      </c>
      <c r="AG51" s="93" cm="1">
        <f t="array" ref="AG51">_xlfn.IFS(COUNTIF(Table14623[[#This Row],[Phrases H]],"*H350*"), 20, TRUE, "")</f>
        <v>20</v>
      </c>
      <c r="AH51" s="93" t="str" cm="1">
        <f t="array" ref="AH51">_xlfn.IFS(COUNTIF(Table14623[[#This Row],[Phrases H]],"*H360*"), 20, TRUE, "")</f>
        <v/>
      </c>
      <c r="AI51" s="93" t="str" cm="1">
        <f t="array" ref="AI51">_xlfn.IFS(COUNTIF(Table14623[[#This Row],[Phrases H]],"*H340*"), 20, TRUE, "")</f>
        <v/>
      </c>
      <c r="AJ51" s="93" t="str" cm="1">
        <f t="array" ref="AJ51">_xlfn.IFS(COUNTIF(Table14623[[#This Row],[Phrases H]],"*H351*"), 10, TRUE, "")</f>
        <v/>
      </c>
      <c r="AK51" s="93" t="str" cm="1">
        <f t="array" ref="AK51">_xlfn.IFS(COUNTIF(Table14623[[#This Row],[Phrases H]],"*H361*"), 10, TRUE, "")</f>
        <v/>
      </c>
      <c r="AL51" s="93" t="str" cm="1">
        <f t="array" ref="AL51">_xlfn.IFS(COUNTIF(Table14623[[#This Row],[Phrases H]],"*H362*"), 10, TRUE, "")</f>
        <v/>
      </c>
      <c r="AM51" s="93" t="str" cm="1">
        <f t="array" ref="AM51">_xlfn.IFS(COUNTIF(Table14623[[#This Row],[Phrases H]],"*H341*"), 10, TRUE, "")</f>
        <v/>
      </c>
      <c r="AN51" s="93" t="str" cm="1">
        <f t="array" ref="AN51">_xlfn.IFS(COUNTIF(Table14623[[#This Row],[Phrases H]],"*H372*"), 10, TRUE, "")</f>
        <v/>
      </c>
      <c r="AO51" s="93" cm="1">
        <f t="array" ref="AO51">_xlfn.IFS(COUNTIF(Table14623[[#This Row],[Phrases H]],"*H410*"), 10, TRUE, "")</f>
        <v>10</v>
      </c>
      <c r="AP51" s="93" cm="1">
        <f t="array" ref="AP51">_xlfn.IFS(COUNTIF(Table14623[[#This Row],[Phrases H]],"*H373*"), 5, TRUE, "")</f>
        <v>5</v>
      </c>
      <c r="AQ51" s="93" t="str" cm="1">
        <f t="array" ref="AQ51">_xlfn.IFS(COUNTIF(Table14623[[#This Row],[Phrases H]],"*H411*"), 5, TRUE, "")</f>
        <v/>
      </c>
      <c r="AR51" s="94">
        <f t="shared" si="64"/>
        <v>35</v>
      </c>
      <c r="AS51" s="95"/>
      <c r="AT51" s="144" t="s">
        <v>31</v>
      </c>
      <c r="AU51" s="97" t="s">
        <v>337</v>
      </c>
      <c r="AV51" s="98">
        <f t="shared" si="51"/>
        <v>0</v>
      </c>
      <c r="AW51" s="99" t="str">
        <f t="shared" si="52"/>
        <v>N/A</v>
      </c>
      <c r="AX51" s="95"/>
      <c r="AY51" s="100">
        <f t="shared" si="61"/>
        <v>35</v>
      </c>
      <c r="AZ51" s="17"/>
      <c r="BA51" s="144">
        <v>2.3499999999999999E-4</v>
      </c>
      <c r="BB51" s="101">
        <f t="shared" si="59"/>
        <v>10</v>
      </c>
      <c r="BC51" s="98" t="str">
        <f t="shared" si="60"/>
        <v>Très peu mobile</v>
      </c>
      <c r="BD51" s="101">
        <v>5.79309160017658</v>
      </c>
      <c r="BE51" s="98" t="str">
        <f t="shared" si="62"/>
        <v>Non mobile</v>
      </c>
      <c r="BF51" s="101">
        <v>340.41</v>
      </c>
      <c r="BG51" s="101">
        <v>4.6671699999999996</v>
      </c>
      <c r="BH51" s="101">
        <v>0.50638249999999996</v>
      </c>
      <c r="BI51" s="98" t="str">
        <f t="shared" si="46"/>
        <v>Non volatil</v>
      </c>
      <c r="BJ51" s="102" t="s">
        <v>31</v>
      </c>
      <c r="BK51" s="103" t="s">
        <v>341</v>
      </c>
      <c r="BL51" s="17"/>
      <c r="BM51" s="104" t="str">
        <f t="shared" si="63"/>
        <v>35, N/A (0), Très peu mobile (solubilité), Non mobile (log Koc), Non volatil, N/A,EUROFINS</v>
      </c>
      <c r="BN51" s="17"/>
      <c r="BO51" s="17"/>
      <c r="BP51" s="17"/>
      <c r="BQ51" s="17"/>
      <c r="BR51" s="17"/>
      <c r="BS51" s="17"/>
      <c r="BT51" s="30">
        <v>35</v>
      </c>
      <c r="BU51" s="31" t="s">
        <v>31</v>
      </c>
      <c r="BV51" s="31" t="s">
        <v>1077</v>
      </c>
      <c r="BW51" s="31" t="s">
        <v>1080</v>
      </c>
      <c r="BX51" s="31" t="s">
        <v>1081</v>
      </c>
      <c r="BY51" s="31" t="s">
        <v>31</v>
      </c>
      <c r="BZ51" s="32" t="s">
        <v>341</v>
      </c>
      <c r="CA51" s="17"/>
      <c r="CB51" s="105" t="s">
        <v>392</v>
      </c>
      <c r="CC51" s="106">
        <v>1</v>
      </c>
      <c r="CD51" s="17"/>
      <c r="CE51" s="107">
        <f t="shared" si="53"/>
        <v>37.666666666666664</v>
      </c>
      <c r="CF51" s="108">
        <f t="shared" si="47"/>
        <v>0.47679324894514763</v>
      </c>
      <c r="CG51" s="17"/>
      <c r="CH51" s="110" t="str">
        <f t="shared" si="48"/>
        <v>Catégorie 3</v>
      </c>
      <c r="CI51" s="111" t="str">
        <f t="shared" si="49"/>
        <v/>
      </c>
      <c r="CJ51" s="112" t="str">
        <f t="shared" si="54"/>
        <v/>
      </c>
      <c r="CK51" s="112" t="str">
        <f t="shared" si="55"/>
        <v/>
      </c>
      <c r="CL51" s="113" t="str">
        <f t="shared" si="56"/>
        <v/>
      </c>
      <c r="CM51" s="113" t="str">
        <f t="shared" si="57"/>
        <v/>
      </c>
      <c r="CN51" s="114" t="str">
        <f t="shared" si="58"/>
        <v>Top 75%</v>
      </c>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row>
    <row r="52" spans="1:121" s="19" customFormat="1" ht="30" customHeight="1" x14ac:dyDescent="0.35">
      <c r="A52" s="4" t="s">
        <v>586</v>
      </c>
      <c r="B52" s="10" t="s">
        <v>652</v>
      </c>
      <c r="C52" s="10" t="s">
        <v>653</v>
      </c>
      <c r="D52" s="10" t="s">
        <v>654</v>
      </c>
      <c r="E52" s="10" t="s">
        <v>655</v>
      </c>
      <c r="F52" s="10" t="s">
        <v>656</v>
      </c>
      <c r="G52" s="10" t="s">
        <v>657</v>
      </c>
      <c r="H52" s="10" t="s">
        <v>642</v>
      </c>
      <c r="I52" s="10" t="s">
        <v>643</v>
      </c>
      <c r="J52" s="11" t="s">
        <v>31</v>
      </c>
      <c r="K52" s="11"/>
      <c r="L52" s="11" t="s">
        <v>30</v>
      </c>
      <c r="M52" s="11"/>
      <c r="N52" s="11"/>
      <c r="O52" s="11"/>
      <c r="P52" s="11"/>
      <c r="Q52" s="11"/>
      <c r="R52" s="11" t="s">
        <v>31</v>
      </c>
      <c r="S52" s="11"/>
      <c r="T52" s="11" t="s">
        <v>609</v>
      </c>
      <c r="U52" s="11" t="s">
        <v>40</v>
      </c>
      <c r="V52" s="11" t="s">
        <v>708</v>
      </c>
      <c r="W52" s="11" t="s">
        <v>725</v>
      </c>
      <c r="X52" s="11" t="s">
        <v>742</v>
      </c>
      <c r="Y52" s="11" t="s">
        <v>759</v>
      </c>
      <c r="Z52" s="4"/>
      <c r="AA52" s="21">
        <f>LOG(649000)</f>
        <v>5.8122446968003691</v>
      </c>
      <c r="AB52" s="11" t="s">
        <v>775</v>
      </c>
      <c r="AC52" s="11" t="s">
        <v>789</v>
      </c>
      <c r="AD52" s="10"/>
      <c r="AE52" s="92" t="str" cm="1">
        <f t="array" ref="AE52">_xlfn.IFS(COUNTIF(Table14623[[#This Row],[PBT/ vPvB]],"*X*"), 20, TRUE, "")</f>
        <v/>
      </c>
      <c r="AF52" s="93" t="str" cm="1">
        <f t="array" ref="AF52">_xlfn.IFS(COUNTIF(Table14623[[#This Row],[Perturbateur Endocrinien]],"*X*"), 20, TRUE, "")</f>
        <v/>
      </c>
      <c r="AG52" s="93" t="str" cm="1">
        <f t="array" ref="AG52">_xlfn.IFS(COUNTIF(Table14623[[#This Row],[Phrases H]],"*H350*"), 20, TRUE, "")</f>
        <v/>
      </c>
      <c r="AH52" s="93" t="str" cm="1">
        <f t="array" ref="AH52">_xlfn.IFS(COUNTIF(Table14623[[#This Row],[Phrases H]],"*H360*"), 20, TRUE, "")</f>
        <v/>
      </c>
      <c r="AI52" s="93" t="str" cm="1">
        <f t="array" ref="AI52">_xlfn.IFS(COUNTIF(Table14623[[#This Row],[Phrases H]],"*H340*"), 20, TRUE, "")</f>
        <v/>
      </c>
      <c r="AJ52" s="93" t="str" cm="1">
        <f t="array" ref="AJ52">_xlfn.IFS(COUNTIF(Table14623[[#This Row],[Phrases H]],"*H351*"), 10, TRUE, "")</f>
        <v/>
      </c>
      <c r="AK52" s="93" t="str" cm="1">
        <f t="array" ref="AK52">_xlfn.IFS(COUNTIF(Table14623[[#This Row],[Phrases H]],"*H361*"), 10, TRUE, "")</f>
        <v/>
      </c>
      <c r="AL52" s="93" t="str" cm="1">
        <f t="array" ref="AL52">_xlfn.IFS(COUNTIF(Table14623[[#This Row],[Phrases H]],"*H362*"), 10, TRUE, "")</f>
        <v/>
      </c>
      <c r="AM52" s="93" cm="1">
        <f t="array" ref="AM52">_xlfn.IFS(COUNTIF(Table14623[[#This Row],[Phrases H]],"*H341*"), 10, TRUE, "")</f>
        <v>10</v>
      </c>
      <c r="AN52" s="93" t="str" cm="1">
        <f t="array" ref="AN52">_xlfn.IFS(COUNTIF(Table14623[[#This Row],[Phrases H]],"*H372*"), 10, TRUE, "")</f>
        <v/>
      </c>
      <c r="AO52" s="93" cm="1">
        <f t="array" ref="AO52">_xlfn.IFS(COUNTIF(Table14623[[#This Row],[Phrases H]],"*H410*"), 10, TRUE, "")</f>
        <v>10</v>
      </c>
      <c r="AP52" s="93" t="str" cm="1">
        <f t="array" ref="AP52">_xlfn.IFS(COUNTIF(Table14623[[#This Row],[Phrases H]],"*H373*"), 5, TRUE, "")</f>
        <v/>
      </c>
      <c r="AQ52" s="93" t="str" cm="1">
        <f t="array" ref="AQ52">_xlfn.IFS(COUNTIF(Table14623[[#This Row],[Phrases H]],"*H411*"), 5, TRUE, "")</f>
        <v/>
      </c>
      <c r="AR52" s="94">
        <f t="shared" si="64"/>
        <v>20</v>
      </c>
      <c r="AS52" s="95"/>
      <c r="AT52" s="144" t="s">
        <v>31</v>
      </c>
      <c r="AU52" s="97" t="s">
        <v>337</v>
      </c>
      <c r="AV52" s="98">
        <f t="shared" si="51"/>
        <v>0</v>
      </c>
      <c r="AW52" s="99" t="str">
        <f t="shared" si="52"/>
        <v>N/A</v>
      </c>
      <c r="AX52" s="95"/>
      <c r="AY52" s="100">
        <f t="shared" si="61"/>
        <v>20</v>
      </c>
      <c r="AZ52" s="17"/>
      <c r="BA52" s="144">
        <v>6.7900000000000002E-2</v>
      </c>
      <c r="BB52" s="101">
        <f t="shared" si="59"/>
        <v>10</v>
      </c>
      <c r="BC52" s="98" t="str">
        <f t="shared" si="60"/>
        <v>Très peu mobile</v>
      </c>
      <c r="BD52" s="101">
        <v>5.8122446968003691</v>
      </c>
      <c r="BE52" s="98" t="str">
        <f t="shared" si="62"/>
        <v>Non mobile</v>
      </c>
      <c r="BF52" s="101">
        <v>340.41800000000001</v>
      </c>
      <c r="BG52" s="101">
        <v>6.1699999999999995E-5</v>
      </c>
      <c r="BH52" s="101">
        <v>1.91</v>
      </c>
      <c r="BI52" s="98" t="str">
        <f t="shared" si="46"/>
        <v>Non volatil</v>
      </c>
      <c r="BJ52" s="102" t="s">
        <v>31</v>
      </c>
      <c r="BK52" s="103" t="s">
        <v>341</v>
      </c>
      <c r="BL52" s="17"/>
      <c r="BM52" s="104" t="str">
        <f t="shared" si="63"/>
        <v>20, N/A (0), Très peu mobile (solubilité), Non mobile (log Koc), Non volatil, N/A,EUROFINS</v>
      </c>
      <c r="BN52" s="17"/>
      <c r="BO52" s="17"/>
      <c r="BP52" s="17"/>
      <c r="BQ52" s="17"/>
      <c r="BR52" s="17"/>
      <c r="BS52" s="17"/>
      <c r="BT52" s="30">
        <v>20</v>
      </c>
      <c r="BU52" s="31" t="s">
        <v>31</v>
      </c>
      <c r="BV52" s="31" t="s">
        <v>1077</v>
      </c>
      <c r="BW52" s="31" t="s">
        <v>1080</v>
      </c>
      <c r="BX52" s="31" t="s">
        <v>1081</v>
      </c>
      <c r="BY52" s="31" t="s">
        <v>31</v>
      </c>
      <c r="BZ52" s="32" t="s">
        <v>341</v>
      </c>
      <c r="CA52" s="17"/>
      <c r="CB52" s="105" t="s">
        <v>392</v>
      </c>
      <c r="CC52" s="106">
        <v>1</v>
      </c>
      <c r="CD52" s="17"/>
      <c r="CE52" s="107">
        <f t="shared" si="53"/>
        <v>23.666666666666668</v>
      </c>
      <c r="CF52" s="108">
        <f t="shared" si="47"/>
        <v>0.29957805907172996</v>
      </c>
      <c r="CG52" s="17"/>
      <c r="CH52" s="110" t="str">
        <f t="shared" si="48"/>
        <v>Catégorie 2</v>
      </c>
      <c r="CI52" s="111" t="str">
        <f t="shared" si="49"/>
        <v/>
      </c>
      <c r="CJ52" s="112" t="str">
        <f t="shared" si="54"/>
        <v/>
      </c>
      <c r="CK52" s="112" t="str">
        <f t="shared" si="55"/>
        <v/>
      </c>
      <c r="CL52" s="113" t="str">
        <f t="shared" si="56"/>
        <v/>
      </c>
      <c r="CM52" s="113" t="str">
        <f t="shared" si="57"/>
        <v/>
      </c>
      <c r="CN52" s="114" t="str">
        <f t="shared" si="58"/>
        <v>Top 75%</v>
      </c>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23"/>
    </row>
    <row r="53" spans="1:121" s="19" customFormat="1" ht="30" customHeight="1" x14ac:dyDescent="0.35">
      <c r="A53" s="4" t="s">
        <v>586</v>
      </c>
      <c r="B53" s="10" t="s">
        <v>658</v>
      </c>
      <c r="C53" s="10" t="s">
        <v>659</v>
      </c>
      <c r="D53" s="10" t="s">
        <v>660</v>
      </c>
      <c r="E53" s="10" t="s">
        <v>661</v>
      </c>
      <c r="F53" s="10" t="s">
        <v>662</v>
      </c>
      <c r="G53" s="10" t="s">
        <v>663</v>
      </c>
      <c r="H53" s="10" t="s">
        <v>642</v>
      </c>
      <c r="I53" s="10" t="s">
        <v>643</v>
      </c>
      <c r="J53" s="11" t="s">
        <v>31</v>
      </c>
      <c r="K53" s="11"/>
      <c r="L53" s="11" t="s">
        <v>30</v>
      </c>
      <c r="M53" s="11"/>
      <c r="N53" s="11"/>
      <c r="O53" s="11"/>
      <c r="P53" s="11"/>
      <c r="Q53" s="11"/>
      <c r="R53" s="11" t="s">
        <v>31</v>
      </c>
      <c r="S53" s="11"/>
      <c r="T53" s="11" t="s">
        <v>621</v>
      </c>
      <c r="U53" s="11" t="s">
        <v>40</v>
      </c>
      <c r="V53" s="11" t="s">
        <v>709</v>
      </c>
      <c r="W53" s="11" t="s">
        <v>726</v>
      </c>
      <c r="X53" s="11" t="s">
        <v>743</v>
      </c>
      <c r="Y53" s="11" t="s">
        <v>760</v>
      </c>
      <c r="Z53" s="4"/>
      <c r="AA53" s="21">
        <f>LOG(960000)</f>
        <v>5.982271233039568</v>
      </c>
      <c r="AB53" s="11" t="s">
        <v>776</v>
      </c>
      <c r="AC53" s="11" t="s">
        <v>790</v>
      </c>
      <c r="AD53" s="10"/>
      <c r="AE53" s="92" t="str" cm="1">
        <f t="array" ref="AE53">_xlfn.IFS(COUNTIF(Table14623[[#This Row],[PBT/ vPvB]],"*X*"), 20, TRUE, "")</f>
        <v/>
      </c>
      <c r="AF53" s="93" t="str" cm="1">
        <f t="array" ref="AF53">_xlfn.IFS(COUNTIF(Table14623[[#This Row],[Perturbateur Endocrinien]],"*X*"), 20, TRUE, "")</f>
        <v/>
      </c>
      <c r="AG53" s="93" t="str" cm="1">
        <f t="array" ref="AG53">_xlfn.IFS(COUNTIF(Table14623[[#This Row],[Phrases H]],"*H350*"), 20, TRUE, "")</f>
        <v/>
      </c>
      <c r="AH53" s="93" t="str" cm="1">
        <f t="array" ref="AH53">_xlfn.IFS(COUNTIF(Table14623[[#This Row],[Phrases H]],"*H360*"), 20, TRUE, "")</f>
        <v/>
      </c>
      <c r="AI53" s="93" t="str" cm="1">
        <f t="array" ref="AI53">_xlfn.IFS(COUNTIF(Table14623[[#This Row],[Phrases H]],"*H340*"), 20, TRUE, "")</f>
        <v/>
      </c>
      <c r="AJ53" s="93" t="str" cm="1">
        <f t="array" ref="AJ53">_xlfn.IFS(COUNTIF(Table14623[[#This Row],[Phrases H]],"*H351*"), 10, TRUE, "")</f>
        <v/>
      </c>
      <c r="AK53" s="93" t="str" cm="1">
        <f t="array" ref="AK53">_xlfn.IFS(COUNTIF(Table14623[[#This Row],[Phrases H]],"*H361*"), 10, TRUE, "")</f>
        <v/>
      </c>
      <c r="AL53" s="93" t="str" cm="1">
        <f t="array" ref="AL53">_xlfn.IFS(COUNTIF(Table14623[[#This Row],[Phrases H]],"*H362*"), 10, TRUE, "")</f>
        <v/>
      </c>
      <c r="AM53" s="93" t="str" cm="1">
        <f t="array" ref="AM53">_xlfn.IFS(COUNTIF(Table14623[[#This Row],[Phrases H]],"*H341*"), 10, TRUE, "")</f>
        <v/>
      </c>
      <c r="AN53" s="93" t="str" cm="1">
        <f t="array" ref="AN53">_xlfn.IFS(COUNTIF(Table14623[[#This Row],[Phrases H]],"*H372*"), 10, TRUE, "")</f>
        <v/>
      </c>
      <c r="AO53" s="93" t="str" cm="1">
        <f t="array" ref="AO53">_xlfn.IFS(COUNTIF(Table14623[[#This Row],[Phrases H]],"*H410*"), 10, TRUE, "")</f>
        <v/>
      </c>
      <c r="AP53" s="93" t="str" cm="1">
        <f t="array" ref="AP53">_xlfn.IFS(COUNTIF(Table14623[[#This Row],[Phrases H]],"*H373*"), 5, TRUE, "")</f>
        <v/>
      </c>
      <c r="AQ53" s="93" t="str" cm="1">
        <f t="array" ref="AQ53">_xlfn.IFS(COUNTIF(Table14623[[#This Row],[Phrases H]],"*H411*"), 5, TRUE, "")</f>
        <v/>
      </c>
      <c r="AR53" s="94">
        <f t="shared" si="64"/>
        <v>0</v>
      </c>
      <c r="AS53" s="95"/>
      <c r="AT53" s="144" t="s">
        <v>31</v>
      </c>
      <c r="AU53" s="97" t="s">
        <v>337</v>
      </c>
      <c r="AV53" s="98">
        <f t="shared" si="51"/>
        <v>0</v>
      </c>
      <c r="AW53" s="99" t="str">
        <f t="shared" si="52"/>
        <v>N/A</v>
      </c>
      <c r="AX53" s="95"/>
      <c r="AY53" s="100">
        <f t="shared" si="61"/>
        <v>0</v>
      </c>
      <c r="AZ53" s="17"/>
      <c r="BA53" s="144">
        <v>8.2164000000000001E-2</v>
      </c>
      <c r="BB53" s="101">
        <f t="shared" si="59"/>
        <v>10</v>
      </c>
      <c r="BC53" s="98" t="str">
        <f t="shared" si="60"/>
        <v>Très peu mobile</v>
      </c>
      <c r="BD53" s="101">
        <v>5.982271233039568</v>
      </c>
      <c r="BE53" s="98" t="str">
        <f t="shared" si="62"/>
        <v>Non mobile</v>
      </c>
      <c r="BF53" s="101">
        <v>374.85</v>
      </c>
      <c r="BG53" s="101">
        <v>2.8538608000000001</v>
      </c>
      <c r="BH53" s="101">
        <v>367.245</v>
      </c>
      <c r="BI53" s="98" t="str">
        <f t="shared" si="46"/>
        <v>Non volatil</v>
      </c>
      <c r="BJ53" s="102" t="s">
        <v>31</v>
      </c>
      <c r="BK53" s="103" t="s">
        <v>341</v>
      </c>
      <c r="BL53" s="17"/>
      <c r="BM53" s="104" t="str">
        <f t="shared" si="63"/>
        <v>0, N/A (0), Très peu mobile (solubilité), Non mobile (log Koc), Non volatil, N/A,EUROFINS</v>
      </c>
      <c r="BN53" s="17"/>
      <c r="BO53" s="17"/>
      <c r="BP53" s="17"/>
      <c r="BQ53" s="17"/>
      <c r="BR53" s="17"/>
      <c r="BS53" s="17"/>
      <c r="BT53" s="30">
        <v>0</v>
      </c>
      <c r="BU53" s="31" t="s">
        <v>31</v>
      </c>
      <c r="BV53" s="31" t="s">
        <v>1077</v>
      </c>
      <c r="BW53" s="31" t="s">
        <v>1080</v>
      </c>
      <c r="BX53" s="31" t="s">
        <v>1081</v>
      </c>
      <c r="BY53" s="31" t="s">
        <v>31</v>
      </c>
      <c r="BZ53" s="32" t="s">
        <v>341</v>
      </c>
      <c r="CA53" s="17"/>
      <c r="CB53" s="105" t="s">
        <v>392</v>
      </c>
      <c r="CC53" s="106">
        <v>1</v>
      </c>
      <c r="CD53" s="17"/>
      <c r="CE53" s="107">
        <f t="shared" si="53"/>
        <v>5</v>
      </c>
      <c r="CF53" s="108">
        <f t="shared" si="47"/>
        <v>6.3291139240506333E-2</v>
      </c>
      <c r="CG53" s="17"/>
      <c r="CH53" s="110" t="str">
        <f t="shared" si="48"/>
        <v>Catégorie 1</v>
      </c>
      <c r="CI53" s="111" t="str">
        <f t="shared" si="49"/>
        <v/>
      </c>
      <c r="CJ53" s="112" t="str">
        <f t="shared" si="54"/>
        <v/>
      </c>
      <c r="CK53" s="112" t="str">
        <f t="shared" si="55"/>
        <v/>
      </c>
      <c r="CL53" s="113" t="str">
        <f t="shared" si="56"/>
        <v/>
      </c>
      <c r="CM53" s="113" t="str">
        <f t="shared" si="57"/>
        <v/>
      </c>
      <c r="CN53" s="114" t="str">
        <f t="shared" si="58"/>
        <v/>
      </c>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row>
    <row r="54" spans="1:121" s="19" customFormat="1" ht="30" customHeight="1" x14ac:dyDescent="0.35">
      <c r="A54" s="4" t="s">
        <v>586</v>
      </c>
      <c r="B54" s="10" t="s">
        <v>664</v>
      </c>
      <c r="C54" s="10" t="s">
        <v>665</v>
      </c>
      <c r="D54" s="10" t="s">
        <v>666</v>
      </c>
      <c r="E54" s="10" t="s">
        <v>667</v>
      </c>
      <c r="F54" s="10" t="s">
        <v>662</v>
      </c>
      <c r="G54" s="10" t="s">
        <v>668</v>
      </c>
      <c r="H54" s="10" t="s">
        <v>642</v>
      </c>
      <c r="I54" s="10" t="s">
        <v>643</v>
      </c>
      <c r="J54" s="11" t="s">
        <v>31</v>
      </c>
      <c r="K54" s="11"/>
      <c r="L54" s="11" t="s">
        <v>30</v>
      </c>
      <c r="M54" s="11"/>
      <c r="N54" s="11"/>
      <c r="O54" s="11"/>
      <c r="P54" s="11"/>
      <c r="Q54" s="11"/>
      <c r="R54" s="11" t="s">
        <v>31</v>
      </c>
      <c r="S54" s="11"/>
      <c r="T54" s="11" t="s">
        <v>609</v>
      </c>
      <c r="U54" s="11" t="s">
        <v>40</v>
      </c>
      <c r="V54" s="11" t="s">
        <v>710</v>
      </c>
      <c r="W54" s="11" t="s">
        <v>727</v>
      </c>
      <c r="X54" s="11" t="s">
        <v>744</v>
      </c>
      <c r="Y54" s="11" t="s">
        <v>761</v>
      </c>
      <c r="Z54" s="4"/>
      <c r="AA54" s="21">
        <f>LOG(1010000)</f>
        <v>6.0043213737826422</v>
      </c>
      <c r="AB54" s="11" t="s">
        <v>777</v>
      </c>
      <c r="AC54" s="11" t="s">
        <v>784</v>
      </c>
      <c r="AD54" s="10"/>
      <c r="AE54" s="92" t="str" cm="1">
        <f t="array" ref="AE54">_xlfn.IFS(COUNTIF(Table14623[[#This Row],[PBT/ vPvB]],"*X*"), 20, TRUE, "")</f>
        <v/>
      </c>
      <c r="AF54" s="93" t="str" cm="1">
        <f t="array" ref="AF54">_xlfn.IFS(COUNTIF(Table14623[[#This Row],[Perturbateur Endocrinien]],"*X*"), 20, TRUE, "")</f>
        <v/>
      </c>
      <c r="AG54" s="93" t="str" cm="1">
        <f t="array" ref="AG54">_xlfn.IFS(COUNTIF(Table14623[[#This Row],[Phrases H]],"*H350*"), 20, TRUE, "")</f>
        <v/>
      </c>
      <c r="AH54" s="93" t="str" cm="1">
        <f t="array" ref="AH54">_xlfn.IFS(COUNTIF(Table14623[[#This Row],[Phrases H]],"*H360*"), 20, TRUE, "")</f>
        <v/>
      </c>
      <c r="AI54" s="93" t="str" cm="1">
        <f t="array" ref="AI54">_xlfn.IFS(COUNTIF(Table14623[[#This Row],[Phrases H]],"*H340*"), 20, TRUE, "")</f>
        <v/>
      </c>
      <c r="AJ54" s="93" t="str" cm="1">
        <f t="array" ref="AJ54">_xlfn.IFS(COUNTIF(Table14623[[#This Row],[Phrases H]],"*H351*"), 10, TRUE, "")</f>
        <v/>
      </c>
      <c r="AK54" s="93" t="str" cm="1">
        <f t="array" ref="AK54">_xlfn.IFS(COUNTIF(Table14623[[#This Row],[Phrases H]],"*H361*"), 10, TRUE, "")</f>
        <v/>
      </c>
      <c r="AL54" s="93" t="str" cm="1">
        <f t="array" ref="AL54">_xlfn.IFS(COUNTIF(Table14623[[#This Row],[Phrases H]],"*H362*"), 10, TRUE, "")</f>
        <v/>
      </c>
      <c r="AM54" s="93" cm="1">
        <f t="array" ref="AM54">_xlfn.IFS(COUNTIF(Table14623[[#This Row],[Phrases H]],"*H341*"), 10, TRUE, "")</f>
        <v>10</v>
      </c>
      <c r="AN54" s="93" t="str" cm="1">
        <f t="array" ref="AN54">_xlfn.IFS(COUNTIF(Table14623[[#This Row],[Phrases H]],"*H372*"), 10, TRUE, "")</f>
        <v/>
      </c>
      <c r="AO54" s="93" cm="1">
        <f t="array" ref="AO54">_xlfn.IFS(COUNTIF(Table14623[[#This Row],[Phrases H]],"*H410*"), 10, TRUE, "")</f>
        <v>10</v>
      </c>
      <c r="AP54" s="93" t="str" cm="1">
        <f t="array" ref="AP54">_xlfn.IFS(COUNTIF(Table14623[[#This Row],[Phrases H]],"*H373*"), 5, TRUE, "")</f>
        <v/>
      </c>
      <c r="AQ54" s="93" t="str" cm="1">
        <f t="array" ref="AQ54">_xlfn.IFS(COUNTIF(Table14623[[#This Row],[Phrases H]],"*H411*"), 5, TRUE, "")</f>
        <v/>
      </c>
      <c r="AR54" s="94">
        <f t="shared" si="64"/>
        <v>20</v>
      </c>
      <c r="AS54" s="95"/>
      <c r="AT54" s="144" t="s">
        <v>31</v>
      </c>
      <c r="AU54" s="97" t="s">
        <v>337</v>
      </c>
      <c r="AV54" s="98">
        <f t="shared" si="51"/>
        <v>0</v>
      </c>
      <c r="AW54" s="99" t="str">
        <f t="shared" si="52"/>
        <v>N/A</v>
      </c>
      <c r="AX54" s="95"/>
      <c r="AY54" s="100">
        <f t="shared" si="61"/>
        <v>20</v>
      </c>
      <c r="AZ54" s="17"/>
      <c r="BA54" s="144">
        <v>8.5899999999999995E-4</v>
      </c>
      <c r="BB54" s="101">
        <f t="shared" si="59"/>
        <v>10</v>
      </c>
      <c r="BC54" s="98" t="str">
        <f t="shared" si="60"/>
        <v>Très peu mobile</v>
      </c>
      <c r="BD54" s="101">
        <v>6.0043213737826422</v>
      </c>
      <c r="BE54" s="98" t="str">
        <f t="shared" si="62"/>
        <v>Non mobile</v>
      </c>
      <c r="BF54" s="101">
        <v>374.863</v>
      </c>
      <c r="BG54" s="101">
        <v>4.9899999999999997E-6</v>
      </c>
      <c r="BH54" s="101">
        <v>0.95499999999999996</v>
      </c>
      <c r="BI54" s="98" t="str">
        <f t="shared" si="46"/>
        <v>Non volatil</v>
      </c>
      <c r="BJ54" s="102" t="s">
        <v>31</v>
      </c>
      <c r="BK54" s="103" t="s">
        <v>341</v>
      </c>
      <c r="BL54" s="17"/>
      <c r="BM54" s="104" t="str">
        <f t="shared" si="63"/>
        <v>20, N/A (0), Très peu mobile (solubilité), Non mobile (log Koc), Non volatil, N/A,EUROFINS</v>
      </c>
      <c r="BN54" s="17"/>
      <c r="BO54" s="17"/>
      <c r="BP54" s="17"/>
      <c r="BQ54" s="17"/>
      <c r="BR54" s="17"/>
      <c r="BS54" s="17"/>
      <c r="BT54" s="30">
        <v>20</v>
      </c>
      <c r="BU54" s="31" t="s">
        <v>31</v>
      </c>
      <c r="BV54" s="31" t="s">
        <v>1077</v>
      </c>
      <c r="BW54" s="31" t="s">
        <v>1080</v>
      </c>
      <c r="BX54" s="31" t="s">
        <v>1081</v>
      </c>
      <c r="BY54" s="31" t="s">
        <v>31</v>
      </c>
      <c r="BZ54" s="32" t="s">
        <v>341</v>
      </c>
      <c r="CA54" s="17"/>
      <c r="CB54" s="105" t="s">
        <v>392</v>
      </c>
      <c r="CC54" s="106">
        <v>1</v>
      </c>
      <c r="CD54" s="17"/>
      <c r="CE54" s="107">
        <f t="shared" si="53"/>
        <v>23.666666666666668</v>
      </c>
      <c r="CF54" s="108">
        <f t="shared" si="47"/>
        <v>0.29957805907172996</v>
      </c>
      <c r="CG54" s="17"/>
      <c r="CH54" s="110" t="str">
        <f t="shared" si="48"/>
        <v>Catégorie 2</v>
      </c>
      <c r="CI54" s="111" t="str">
        <f t="shared" si="49"/>
        <v/>
      </c>
      <c r="CJ54" s="112" t="str">
        <f t="shared" si="54"/>
        <v/>
      </c>
      <c r="CK54" s="112" t="str">
        <f t="shared" si="55"/>
        <v/>
      </c>
      <c r="CL54" s="113" t="str">
        <f t="shared" si="56"/>
        <v/>
      </c>
      <c r="CM54" s="113" t="str">
        <f t="shared" si="57"/>
        <v/>
      </c>
      <c r="CN54" s="114" t="str">
        <f t="shared" si="58"/>
        <v>Top 75%</v>
      </c>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23"/>
    </row>
    <row r="55" spans="1:121" s="19" customFormat="1" ht="30" customHeight="1" x14ac:dyDescent="0.35">
      <c r="A55" s="4" t="s">
        <v>586</v>
      </c>
      <c r="B55" s="10" t="s">
        <v>669</v>
      </c>
      <c r="C55" s="10" t="s">
        <v>670</v>
      </c>
      <c r="D55" s="10" t="s">
        <v>671</v>
      </c>
      <c r="E55" s="10" t="s">
        <v>672</v>
      </c>
      <c r="F55" s="10" t="s">
        <v>662</v>
      </c>
      <c r="G55" s="10" t="s">
        <v>673</v>
      </c>
      <c r="H55" s="10" t="s">
        <v>642</v>
      </c>
      <c r="I55" s="10" t="s">
        <v>643</v>
      </c>
      <c r="J55" s="11" t="s">
        <v>31</v>
      </c>
      <c r="K55" s="11"/>
      <c r="L55" s="11" t="s">
        <v>30</v>
      </c>
      <c r="M55" s="11"/>
      <c r="N55" s="11"/>
      <c r="O55" s="11"/>
      <c r="P55" s="11"/>
      <c r="Q55" s="11"/>
      <c r="R55" s="11" t="s">
        <v>31</v>
      </c>
      <c r="S55" s="11"/>
      <c r="T55" s="11" t="s">
        <v>674</v>
      </c>
      <c r="U55" s="11" t="s">
        <v>40</v>
      </c>
      <c r="V55" s="11" t="s">
        <v>711</v>
      </c>
      <c r="W55" s="11" t="s">
        <v>728</v>
      </c>
      <c r="X55" s="11" t="s">
        <v>745</v>
      </c>
      <c r="Y55" s="11" t="s">
        <v>762</v>
      </c>
      <c r="Z55" s="4"/>
      <c r="AA55" s="21">
        <f>LOG(286000)</f>
        <v>5.4563660331290427</v>
      </c>
      <c r="AB55" s="11" t="s">
        <v>778</v>
      </c>
      <c r="AC55" s="11" t="s">
        <v>791</v>
      </c>
      <c r="AD55" s="10"/>
      <c r="AE55" s="92" t="str" cm="1">
        <f t="array" ref="AE55">_xlfn.IFS(COUNTIF(Table14623[[#This Row],[PBT/ vPvB]],"*X*"), 20, TRUE, "")</f>
        <v/>
      </c>
      <c r="AF55" s="93" t="str" cm="1">
        <f t="array" ref="AF55">_xlfn.IFS(COUNTIF(Table14623[[#This Row],[Perturbateur Endocrinien]],"*X*"), 20, TRUE, "")</f>
        <v/>
      </c>
      <c r="AG55" s="93" t="str" cm="1">
        <f t="array" ref="AG55">_xlfn.IFS(COUNTIF(Table14623[[#This Row],[Phrases H]],"*H350*"), 20, TRUE, "")</f>
        <v/>
      </c>
      <c r="AH55" s="93" t="str" cm="1">
        <f t="array" ref="AH55">_xlfn.IFS(COUNTIF(Table14623[[#This Row],[Phrases H]],"*H360*"), 20, TRUE, "")</f>
        <v/>
      </c>
      <c r="AI55" s="93" t="str" cm="1">
        <f t="array" ref="AI55">_xlfn.IFS(COUNTIF(Table14623[[#This Row],[Phrases H]],"*H340*"), 20, TRUE, "")</f>
        <v/>
      </c>
      <c r="AJ55" s="93" t="str" cm="1">
        <f t="array" ref="AJ55">_xlfn.IFS(COUNTIF(Table14623[[#This Row],[Phrases H]],"*H351*"), 10, TRUE, "")</f>
        <v/>
      </c>
      <c r="AK55" s="93" t="str" cm="1">
        <f t="array" ref="AK55">_xlfn.IFS(COUNTIF(Table14623[[#This Row],[Phrases H]],"*H361*"), 10, TRUE, "")</f>
        <v/>
      </c>
      <c r="AL55" s="93" t="str" cm="1">
        <f t="array" ref="AL55">_xlfn.IFS(COUNTIF(Table14623[[#This Row],[Phrases H]],"*H362*"), 10, TRUE, "")</f>
        <v/>
      </c>
      <c r="AM55" s="93" t="str" cm="1">
        <f t="array" ref="AM55">_xlfn.IFS(COUNTIF(Table14623[[#This Row],[Phrases H]],"*H341*"), 10, TRUE, "")</f>
        <v/>
      </c>
      <c r="AN55" s="93" t="str" cm="1">
        <f t="array" ref="AN55">_xlfn.IFS(COUNTIF(Table14623[[#This Row],[Phrases H]],"*H372*"), 10, TRUE, "")</f>
        <v/>
      </c>
      <c r="AO55" s="93" cm="1">
        <f t="array" ref="AO55">_xlfn.IFS(COUNTIF(Table14623[[#This Row],[Phrases H]],"*H410*"), 10, TRUE, "")</f>
        <v>10</v>
      </c>
      <c r="AP55" s="93" t="str" cm="1">
        <f t="array" ref="AP55">_xlfn.IFS(COUNTIF(Table14623[[#This Row],[Phrases H]],"*H373*"), 5, TRUE, "")</f>
        <v/>
      </c>
      <c r="AQ55" s="93" t="str" cm="1">
        <f t="array" ref="AQ55">_xlfn.IFS(COUNTIF(Table14623[[#This Row],[Phrases H]],"*H411*"), 5, TRUE, "")</f>
        <v/>
      </c>
      <c r="AR55" s="94">
        <f t="shared" si="64"/>
        <v>10</v>
      </c>
      <c r="AS55" s="95"/>
      <c r="AT55" s="144" t="s">
        <v>31</v>
      </c>
      <c r="AU55" s="97" t="s">
        <v>337</v>
      </c>
      <c r="AV55" s="98">
        <f t="shared" si="51"/>
        <v>0</v>
      </c>
      <c r="AW55" s="99" t="str">
        <f t="shared" si="52"/>
        <v>N/A</v>
      </c>
      <c r="AX55" s="95"/>
      <c r="AY55" s="100">
        <f t="shared" si="61"/>
        <v>10</v>
      </c>
      <c r="AZ55" s="17"/>
      <c r="BA55" s="144">
        <v>5.1500000000000005E-4</v>
      </c>
      <c r="BB55" s="101">
        <f t="shared" si="59"/>
        <v>10</v>
      </c>
      <c r="BC55" s="98" t="str">
        <f t="shared" si="60"/>
        <v>Très peu mobile</v>
      </c>
      <c r="BD55" s="101">
        <v>5.4563660331290427</v>
      </c>
      <c r="BE55" s="98" t="str">
        <f t="shared" si="62"/>
        <v>Non mobile</v>
      </c>
      <c r="BF55" s="101">
        <v>340.41800000000001</v>
      </c>
      <c r="BG55" s="101">
        <v>2.1699999999999999E-5</v>
      </c>
      <c r="BH55" s="101">
        <v>0.505</v>
      </c>
      <c r="BI55" s="98" t="str">
        <f t="shared" si="46"/>
        <v>Non volatil</v>
      </c>
      <c r="BJ55" s="102" t="s">
        <v>31</v>
      </c>
      <c r="BK55" s="103" t="s">
        <v>341</v>
      </c>
      <c r="BL55" s="17"/>
      <c r="BM55" s="104" t="str">
        <f t="shared" si="63"/>
        <v>10, N/A (0), Très peu mobile (solubilité), Non mobile (log Koc), Non volatil, N/A,EUROFINS</v>
      </c>
      <c r="BN55" s="17"/>
      <c r="BO55" s="17"/>
      <c r="BP55" s="17"/>
      <c r="BQ55" s="17"/>
      <c r="BR55" s="17"/>
      <c r="BS55" s="17"/>
      <c r="BT55" s="30">
        <v>10</v>
      </c>
      <c r="BU55" s="31" t="s">
        <v>31</v>
      </c>
      <c r="BV55" s="31" t="s">
        <v>1077</v>
      </c>
      <c r="BW55" s="31" t="s">
        <v>1080</v>
      </c>
      <c r="BX55" s="31" t="s">
        <v>1081</v>
      </c>
      <c r="BY55" s="31" t="s">
        <v>31</v>
      </c>
      <c r="BZ55" s="32" t="s">
        <v>341</v>
      </c>
      <c r="CA55" s="17"/>
      <c r="CB55" s="105" t="s">
        <v>392</v>
      </c>
      <c r="CC55" s="106">
        <v>1</v>
      </c>
      <c r="CD55" s="17"/>
      <c r="CE55" s="107">
        <f t="shared" si="53"/>
        <v>14.333333333333334</v>
      </c>
      <c r="CF55" s="108">
        <f t="shared" si="47"/>
        <v>0.18143459915611815</v>
      </c>
      <c r="CG55" s="17"/>
      <c r="CH55" s="110" t="str">
        <f t="shared" si="48"/>
        <v>Catégorie 1</v>
      </c>
      <c r="CI55" s="111" t="str">
        <f t="shared" si="49"/>
        <v/>
      </c>
      <c r="CJ55" s="112" t="str">
        <f t="shared" si="54"/>
        <v/>
      </c>
      <c r="CK55" s="112" t="str">
        <f t="shared" si="55"/>
        <v/>
      </c>
      <c r="CL55" s="113" t="str">
        <f t="shared" si="56"/>
        <v/>
      </c>
      <c r="CM55" s="113" t="str">
        <f t="shared" si="57"/>
        <v/>
      </c>
      <c r="CN55" s="114" t="str">
        <f t="shared" si="58"/>
        <v/>
      </c>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row>
    <row r="56" spans="1:121" s="19" customFormat="1" ht="30" customHeight="1" x14ac:dyDescent="0.35">
      <c r="A56" s="4" t="s">
        <v>586</v>
      </c>
      <c r="B56" s="10" t="s">
        <v>675</v>
      </c>
      <c r="C56" s="10" t="s">
        <v>676</v>
      </c>
      <c r="D56" s="10" t="s">
        <v>677</v>
      </c>
      <c r="E56" s="10" t="s">
        <v>678</v>
      </c>
      <c r="F56" s="10" t="s">
        <v>662</v>
      </c>
      <c r="G56" s="10" t="s">
        <v>679</v>
      </c>
      <c r="H56" s="10" t="s">
        <v>642</v>
      </c>
      <c r="I56" s="10" t="s">
        <v>643</v>
      </c>
      <c r="J56" s="11" t="s">
        <v>31</v>
      </c>
      <c r="K56" s="11"/>
      <c r="L56" s="11" t="s">
        <v>30</v>
      </c>
      <c r="M56" s="11"/>
      <c r="N56" s="11"/>
      <c r="O56" s="11"/>
      <c r="P56" s="11"/>
      <c r="Q56" s="11"/>
      <c r="R56" s="11" t="s">
        <v>31</v>
      </c>
      <c r="S56" s="11"/>
      <c r="T56" s="11" t="s">
        <v>621</v>
      </c>
      <c r="U56" s="11" t="s">
        <v>40</v>
      </c>
      <c r="V56" s="11" t="s">
        <v>712</v>
      </c>
      <c r="W56" s="11" t="s">
        <v>729</v>
      </c>
      <c r="X56" s="11" t="s">
        <v>746</v>
      </c>
      <c r="Y56" s="11" t="s">
        <v>761</v>
      </c>
      <c r="Z56" s="4"/>
      <c r="AA56" s="21">
        <f>LOG(1010000)</f>
        <v>6.0043213737826422</v>
      </c>
      <c r="AB56" s="12">
        <v>1010000</v>
      </c>
      <c r="AC56" s="11" t="s">
        <v>784</v>
      </c>
      <c r="AD56" s="10"/>
      <c r="AE56" s="92" t="str" cm="1">
        <f t="array" ref="AE56">_xlfn.IFS(COUNTIF(Table14623[[#This Row],[PBT/ vPvB]],"*X*"), 20, TRUE, "")</f>
        <v/>
      </c>
      <c r="AF56" s="93" t="str" cm="1">
        <f t="array" ref="AF56">_xlfn.IFS(COUNTIF(Table14623[[#This Row],[Perturbateur Endocrinien]],"*X*"), 20, TRUE, "")</f>
        <v/>
      </c>
      <c r="AG56" s="93" t="str" cm="1">
        <f t="array" ref="AG56">_xlfn.IFS(COUNTIF(Table14623[[#This Row],[Phrases H]],"*H350*"), 20, TRUE, "")</f>
        <v/>
      </c>
      <c r="AH56" s="93" t="str" cm="1">
        <f t="array" ref="AH56">_xlfn.IFS(COUNTIF(Table14623[[#This Row],[Phrases H]],"*H360*"), 20, TRUE, "")</f>
        <v/>
      </c>
      <c r="AI56" s="93" t="str" cm="1">
        <f t="array" ref="AI56">_xlfn.IFS(COUNTIF(Table14623[[#This Row],[Phrases H]],"*H340*"), 20, TRUE, "")</f>
        <v/>
      </c>
      <c r="AJ56" s="93" t="str" cm="1">
        <f t="array" ref="AJ56">_xlfn.IFS(COUNTIF(Table14623[[#This Row],[Phrases H]],"*H351*"), 10, TRUE, "")</f>
        <v/>
      </c>
      <c r="AK56" s="93" t="str" cm="1">
        <f t="array" ref="AK56">_xlfn.IFS(COUNTIF(Table14623[[#This Row],[Phrases H]],"*H361*"), 10, TRUE, "")</f>
        <v/>
      </c>
      <c r="AL56" s="93" t="str" cm="1">
        <f t="array" ref="AL56">_xlfn.IFS(COUNTIF(Table14623[[#This Row],[Phrases H]],"*H362*"), 10, TRUE, "")</f>
        <v/>
      </c>
      <c r="AM56" s="93" t="str" cm="1">
        <f t="array" ref="AM56">_xlfn.IFS(COUNTIF(Table14623[[#This Row],[Phrases H]],"*H341*"), 10, TRUE, "")</f>
        <v/>
      </c>
      <c r="AN56" s="93" t="str" cm="1">
        <f t="array" ref="AN56">_xlfn.IFS(COUNTIF(Table14623[[#This Row],[Phrases H]],"*H372*"), 10, TRUE, "")</f>
        <v/>
      </c>
      <c r="AO56" s="93" t="str" cm="1">
        <f t="array" ref="AO56">_xlfn.IFS(COUNTIF(Table14623[[#This Row],[Phrases H]],"*H410*"), 10, TRUE, "")</f>
        <v/>
      </c>
      <c r="AP56" s="93" t="str" cm="1">
        <f t="array" ref="AP56">_xlfn.IFS(COUNTIF(Table14623[[#This Row],[Phrases H]],"*H373*"), 5, TRUE, "")</f>
        <v/>
      </c>
      <c r="AQ56" s="93" t="str" cm="1">
        <f t="array" ref="AQ56">_xlfn.IFS(COUNTIF(Table14623[[#This Row],[Phrases H]],"*H411*"), 5, TRUE, "")</f>
        <v/>
      </c>
      <c r="AR56" s="94">
        <f t="shared" si="64"/>
        <v>0</v>
      </c>
      <c r="AS56" s="95"/>
      <c r="AT56" s="144" t="s">
        <v>31</v>
      </c>
      <c r="AU56" s="97" t="s">
        <v>337</v>
      </c>
      <c r="AV56" s="98">
        <f t="shared" si="51"/>
        <v>0</v>
      </c>
      <c r="AW56" s="99" t="str">
        <f t="shared" si="52"/>
        <v>N/A</v>
      </c>
      <c r="AX56" s="95"/>
      <c r="AY56" s="100">
        <f t="shared" si="61"/>
        <v>0</v>
      </c>
      <c r="AZ56" s="17"/>
      <c r="BA56" s="144">
        <v>1.56E-3</v>
      </c>
      <c r="BB56" s="101">
        <f t="shared" si="59"/>
        <v>10</v>
      </c>
      <c r="BC56" s="98" t="str">
        <f t="shared" si="60"/>
        <v>Très peu mobile</v>
      </c>
      <c r="BD56" s="101">
        <v>6.0043213737826422</v>
      </c>
      <c r="BE56" s="98" t="str">
        <f t="shared" si="62"/>
        <v>Non mobile</v>
      </c>
      <c r="BF56" s="101">
        <v>374.96300000000002</v>
      </c>
      <c r="BG56" s="101">
        <v>7.5900000000000002E-6</v>
      </c>
      <c r="BH56" s="101">
        <v>1.78</v>
      </c>
      <c r="BI56" s="98" t="str">
        <f t="shared" si="46"/>
        <v>Non volatil</v>
      </c>
      <c r="BJ56" s="102" t="s">
        <v>31</v>
      </c>
      <c r="BK56" s="103" t="s">
        <v>341</v>
      </c>
      <c r="BL56" s="17"/>
      <c r="BM56" s="104" t="str">
        <f t="shared" si="63"/>
        <v>0, N/A (0), Très peu mobile (solubilité), Non mobile (log Koc), Non volatil, N/A,EUROFINS</v>
      </c>
      <c r="BN56" s="17"/>
      <c r="BO56" s="17"/>
      <c r="BP56" s="17"/>
      <c r="BQ56" s="17"/>
      <c r="BR56" s="17"/>
      <c r="BS56" s="17"/>
      <c r="BT56" s="30">
        <v>0</v>
      </c>
      <c r="BU56" s="31" t="s">
        <v>31</v>
      </c>
      <c r="BV56" s="31" t="s">
        <v>1077</v>
      </c>
      <c r="BW56" s="31" t="s">
        <v>1080</v>
      </c>
      <c r="BX56" s="31" t="s">
        <v>1081</v>
      </c>
      <c r="BY56" s="31" t="s">
        <v>31</v>
      </c>
      <c r="BZ56" s="32" t="s">
        <v>341</v>
      </c>
      <c r="CA56" s="17"/>
      <c r="CB56" s="105" t="s">
        <v>392</v>
      </c>
      <c r="CC56" s="106">
        <v>1</v>
      </c>
      <c r="CD56" s="17"/>
      <c r="CE56" s="107">
        <f t="shared" si="53"/>
        <v>5</v>
      </c>
      <c r="CF56" s="108">
        <f t="shared" si="47"/>
        <v>6.3291139240506333E-2</v>
      </c>
      <c r="CG56" s="17"/>
      <c r="CH56" s="110" t="str">
        <f t="shared" si="48"/>
        <v>Catégorie 1</v>
      </c>
      <c r="CI56" s="111" t="str">
        <f t="shared" si="49"/>
        <v/>
      </c>
      <c r="CJ56" s="112" t="str">
        <f t="shared" si="54"/>
        <v/>
      </c>
      <c r="CK56" s="112" t="str">
        <f t="shared" si="55"/>
        <v/>
      </c>
      <c r="CL56" s="113" t="str">
        <f t="shared" si="56"/>
        <v/>
      </c>
      <c r="CM56" s="113" t="str">
        <f t="shared" si="57"/>
        <v/>
      </c>
      <c r="CN56" s="114" t="str">
        <f t="shared" si="58"/>
        <v/>
      </c>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23"/>
    </row>
    <row r="57" spans="1:121" s="19" customFormat="1" ht="30" customHeight="1" x14ac:dyDescent="0.35">
      <c r="A57" s="4" t="s">
        <v>586</v>
      </c>
      <c r="B57" s="10" t="s">
        <v>680</v>
      </c>
      <c r="C57" s="10" t="s">
        <v>681</v>
      </c>
      <c r="D57" s="10" t="s">
        <v>682</v>
      </c>
      <c r="E57" s="10" t="s">
        <v>683</v>
      </c>
      <c r="F57" s="10" t="s">
        <v>684</v>
      </c>
      <c r="G57" s="10" t="s">
        <v>685</v>
      </c>
      <c r="H57" s="10" t="s">
        <v>642</v>
      </c>
      <c r="I57" s="10" t="s">
        <v>643</v>
      </c>
      <c r="J57" s="11" t="s">
        <v>31</v>
      </c>
      <c r="K57" s="11"/>
      <c r="L57" s="11" t="s">
        <v>30</v>
      </c>
      <c r="M57" s="11"/>
      <c r="N57" s="11"/>
      <c r="O57" s="11"/>
      <c r="P57" s="11"/>
      <c r="Q57" s="11"/>
      <c r="R57" s="11" t="s">
        <v>31</v>
      </c>
      <c r="S57" s="11"/>
      <c r="T57" s="11" t="s">
        <v>686</v>
      </c>
      <c r="U57" s="11" t="s">
        <v>40</v>
      </c>
      <c r="V57" s="11" t="s">
        <v>713</v>
      </c>
      <c r="W57" s="11" t="s">
        <v>730</v>
      </c>
      <c r="X57" s="11" t="s">
        <v>747</v>
      </c>
      <c r="Y57" s="11" t="s">
        <v>763</v>
      </c>
      <c r="Z57" s="4"/>
      <c r="AA57" s="21">
        <f>LOG(807000)</f>
        <v>5.9068735347220702</v>
      </c>
      <c r="AB57" s="12">
        <v>807000</v>
      </c>
      <c r="AC57" s="11" t="s">
        <v>785</v>
      </c>
      <c r="AD57" s="10"/>
      <c r="AE57" s="92" t="str" cm="1">
        <f t="array" ref="AE57">_xlfn.IFS(COUNTIF(Table14623[[#This Row],[PBT/ vPvB]],"*X*"), 20, TRUE, "")</f>
        <v/>
      </c>
      <c r="AF57" s="93" t="str" cm="1">
        <f t="array" ref="AF57">_xlfn.IFS(COUNTIF(Table14623[[#This Row],[Perturbateur Endocrinien]],"*X*"), 20, TRUE, "")</f>
        <v/>
      </c>
      <c r="AG57" s="93" t="str" cm="1">
        <f t="array" ref="AG57">_xlfn.IFS(COUNTIF(Table14623[[#This Row],[Phrases H]],"*H350*"), 20, TRUE, "")</f>
        <v/>
      </c>
      <c r="AH57" s="93" t="str" cm="1">
        <f t="array" ref="AH57">_xlfn.IFS(COUNTIF(Table14623[[#This Row],[Phrases H]],"*H360*"), 20, TRUE, "")</f>
        <v/>
      </c>
      <c r="AI57" s="93" t="str" cm="1">
        <f t="array" ref="AI57">_xlfn.IFS(COUNTIF(Table14623[[#This Row],[Phrases H]],"*H340*"), 20, TRUE, "")</f>
        <v/>
      </c>
      <c r="AJ57" s="93" t="str" cm="1">
        <f t="array" ref="AJ57">_xlfn.IFS(COUNTIF(Table14623[[#This Row],[Phrases H]],"*H351*"), 10, TRUE, "")</f>
        <v/>
      </c>
      <c r="AK57" s="93" t="str" cm="1">
        <f t="array" ref="AK57">_xlfn.IFS(COUNTIF(Table14623[[#This Row],[Phrases H]],"*H361*"), 10, TRUE, "")</f>
        <v/>
      </c>
      <c r="AL57" s="93" t="str" cm="1">
        <f t="array" ref="AL57">_xlfn.IFS(COUNTIF(Table14623[[#This Row],[Phrases H]],"*H362*"), 10, TRUE, "")</f>
        <v/>
      </c>
      <c r="AM57" s="93" t="str" cm="1">
        <f t="array" ref="AM57">_xlfn.IFS(COUNTIF(Table14623[[#This Row],[Phrases H]],"*H341*"), 10, TRUE, "")</f>
        <v/>
      </c>
      <c r="AN57" s="93" t="str" cm="1">
        <f t="array" ref="AN57">_xlfn.IFS(COUNTIF(Table14623[[#This Row],[Phrases H]],"*H372*"), 10, TRUE, "")</f>
        <v/>
      </c>
      <c r="AO57" s="93" t="str" cm="1">
        <f t="array" ref="AO57">_xlfn.IFS(COUNTIF(Table14623[[#This Row],[Phrases H]],"*H410*"), 10, TRUE, "")</f>
        <v/>
      </c>
      <c r="AP57" s="93" t="str" cm="1">
        <f t="array" ref="AP57">_xlfn.IFS(COUNTIF(Table14623[[#This Row],[Phrases H]],"*H373*"), 5, TRUE, "")</f>
        <v/>
      </c>
      <c r="AQ57" s="93" t="str" cm="1">
        <f t="array" ref="AQ57">_xlfn.IFS(COUNTIF(Table14623[[#This Row],[Phrases H]],"*H411*"), 5, TRUE, "")</f>
        <v/>
      </c>
      <c r="AR57" s="94">
        <f t="shared" si="64"/>
        <v>0</v>
      </c>
      <c r="AS57" s="95"/>
      <c r="AT57" s="144" t="s">
        <v>31</v>
      </c>
      <c r="AU57" s="97" t="s">
        <v>337</v>
      </c>
      <c r="AV57" s="98">
        <f t="shared" si="51"/>
        <v>0</v>
      </c>
      <c r="AW57" s="99" t="str">
        <f t="shared" si="52"/>
        <v>N/A</v>
      </c>
      <c r="AX57" s="95"/>
      <c r="AY57" s="100">
        <f t="shared" si="61"/>
        <v>0</v>
      </c>
      <c r="AZ57" s="17"/>
      <c r="BA57" s="144">
        <v>1.085E-2</v>
      </c>
      <c r="BB57" s="101">
        <f t="shared" si="59"/>
        <v>10</v>
      </c>
      <c r="BC57" s="98" t="str">
        <f t="shared" si="60"/>
        <v>Très peu mobile</v>
      </c>
      <c r="BD57" s="101">
        <v>5.9068735347220702</v>
      </c>
      <c r="BE57" s="98" t="str">
        <f t="shared" si="62"/>
        <v>Non mobile</v>
      </c>
      <c r="BF57" s="101">
        <v>409.30799999999999</v>
      </c>
      <c r="BG57" s="101">
        <v>2.2400000000000002E-6</v>
      </c>
      <c r="BH57" s="101">
        <v>106.39</v>
      </c>
      <c r="BI57" s="98" t="str">
        <f>IF(OR(BF57="N/A",BG57="N/A",BH57="N/A"),"N/A",IF(AND(BF57&gt;200,BG57&gt;67,BH57&gt;0.5),"Volatile","Non volatil"))</f>
        <v>Non volatil</v>
      </c>
      <c r="BJ57" s="102" t="s">
        <v>31</v>
      </c>
      <c r="BK57" s="103" t="s">
        <v>341</v>
      </c>
      <c r="BL57" s="17"/>
      <c r="BM57" s="104" t="str">
        <f t="shared" si="63"/>
        <v>0, N/A (0), Très peu mobile (solubilité), Non mobile (log Koc), Non volatil, N/A,EUROFINS</v>
      </c>
      <c r="BN57" s="17"/>
      <c r="BO57" s="17"/>
      <c r="BP57" s="17"/>
      <c r="BQ57" s="17"/>
      <c r="BR57" s="17"/>
      <c r="BS57" s="17"/>
      <c r="BT57" s="30">
        <v>0</v>
      </c>
      <c r="BU57" s="31" t="s">
        <v>31</v>
      </c>
      <c r="BV57" s="31" t="s">
        <v>1077</v>
      </c>
      <c r="BW57" s="31" t="s">
        <v>1080</v>
      </c>
      <c r="BX57" s="31" t="s">
        <v>1081</v>
      </c>
      <c r="BY57" s="31" t="s">
        <v>31</v>
      </c>
      <c r="BZ57" s="32" t="s">
        <v>341</v>
      </c>
      <c r="CA57" s="17"/>
      <c r="CB57" s="105" t="s">
        <v>392</v>
      </c>
      <c r="CC57" s="106">
        <v>1</v>
      </c>
      <c r="CD57" s="17"/>
      <c r="CE57" s="107">
        <f t="shared" si="53"/>
        <v>5</v>
      </c>
      <c r="CF57" s="108">
        <f t="shared" si="47"/>
        <v>6.3291139240506333E-2</v>
      </c>
      <c r="CG57" s="17"/>
      <c r="CH57" s="110" t="str">
        <f t="shared" si="48"/>
        <v>Catégorie 1</v>
      </c>
      <c r="CI57" s="111" t="str">
        <f t="shared" si="49"/>
        <v/>
      </c>
      <c r="CJ57" s="112" t="str">
        <f t="shared" si="54"/>
        <v/>
      </c>
      <c r="CK57" s="112" t="str">
        <f t="shared" si="55"/>
        <v/>
      </c>
      <c r="CL57" s="113" t="str">
        <f t="shared" si="56"/>
        <v/>
      </c>
      <c r="CM57" s="113" t="str">
        <f t="shared" si="57"/>
        <v/>
      </c>
      <c r="CN57" s="114" t="str">
        <f t="shared" si="58"/>
        <v/>
      </c>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row>
    <row r="58" spans="1:121" s="19" customFormat="1" ht="30" customHeight="1" x14ac:dyDescent="0.35">
      <c r="A58" s="4" t="s">
        <v>586</v>
      </c>
      <c r="B58" s="10" t="s">
        <v>687</v>
      </c>
      <c r="C58" s="10" t="s">
        <v>688</v>
      </c>
      <c r="D58" s="10" t="s">
        <v>689</v>
      </c>
      <c r="E58" s="10" t="s">
        <v>690</v>
      </c>
      <c r="F58" s="10" t="s">
        <v>684</v>
      </c>
      <c r="G58" s="10" t="s">
        <v>691</v>
      </c>
      <c r="H58" s="10" t="s">
        <v>642</v>
      </c>
      <c r="I58" s="10" t="s">
        <v>643</v>
      </c>
      <c r="J58" s="11" t="s">
        <v>31</v>
      </c>
      <c r="K58" s="11"/>
      <c r="L58" s="11" t="s">
        <v>30</v>
      </c>
      <c r="M58" s="11"/>
      <c r="N58" s="11"/>
      <c r="O58" s="11"/>
      <c r="P58" s="11"/>
      <c r="Q58" s="11"/>
      <c r="R58" s="11" t="s">
        <v>31</v>
      </c>
      <c r="S58" s="11"/>
      <c r="T58" s="11" t="s">
        <v>692</v>
      </c>
      <c r="U58" s="11" t="s">
        <v>40</v>
      </c>
      <c r="V58" s="11" t="s">
        <v>714</v>
      </c>
      <c r="W58" s="11" t="s">
        <v>731</v>
      </c>
      <c r="X58" s="11" t="s">
        <v>748</v>
      </c>
      <c r="Y58" s="11" t="s">
        <v>764</v>
      </c>
      <c r="Z58" s="4"/>
      <c r="AA58" s="21">
        <f>LOG(807000)</f>
        <v>5.9068735347220702</v>
      </c>
      <c r="AB58" s="11" t="s">
        <v>779</v>
      </c>
      <c r="AC58" s="11" t="s">
        <v>785</v>
      </c>
      <c r="AD58" s="10"/>
      <c r="AE58" s="92" t="str" cm="1">
        <f t="array" ref="AE58">_xlfn.IFS(COUNTIF(Table14623[[#This Row],[PBT/ vPvB]],"*X*"), 20, TRUE, "")</f>
        <v/>
      </c>
      <c r="AF58" s="93" t="str" cm="1">
        <f t="array" ref="AF58">_xlfn.IFS(COUNTIF(Table14623[[#This Row],[Perturbateur Endocrinien]],"*X*"), 20, TRUE, "")</f>
        <v/>
      </c>
      <c r="AG58" s="93" t="str" cm="1">
        <f t="array" ref="AG58">_xlfn.IFS(COUNTIF(Table14623[[#This Row],[Phrases H]],"*H350*"), 20, TRUE, "")</f>
        <v/>
      </c>
      <c r="AH58" s="93" t="str" cm="1">
        <f t="array" ref="AH58">_xlfn.IFS(COUNTIF(Table14623[[#This Row],[Phrases H]],"*H360*"), 20, TRUE, "")</f>
        <v/>
      </c>
      <c r="AI58" s="93" t="str" cm="1">
        <f t="array" ref="AI58">_xlfn.IFS(COUNTIF(Table14623[[#This Row],[Phrases H]],"*H340*"), 20, TRUE, "")</f>
        <v/>
      </c>
      <c r="AJ58" s="93" t="str" cm="1">
        <f t="array" ref="AJ58">_xlfn.IFS(COUNTIF(Table14623[[#This Row],[Phrases H]],"*H351*"), 10, TRUE, "")</f>
        <v/>
      </c>
      <c r="AK58" s="93" t="str" cm="1">
        <f t="array" ref="AK58">_xlfn.IFS(COUNTIF(Table14623[[#This Row],[Phrases H]],"*H361*"), 10, TRUE, "")</f>
        <v/>
      </c>
      <c r="AL58" s="93" t="str" cm="1">
        <f t="array" ref="AL58">_xlfn.IFS(COUNTIF(Table14623[[#This Row],[Phrases H]],"*H362*"), 10, TRUE, "")</f>
        <v/>
      </c>
      <c r="AM58" s="93" t="str" cm="1">
        <f t="array" ref="AM58">_xlfn.IFS(COUNTIF(Table14623[[#This Row],[Phrases H]],"*H341*"), 10, TRUE, "")</f>
        <v/>
      </c>
      <c r="AN58" s="93" t="str" cm="1">
        <f t="array" ref="AN58">_xlfn.IFS(COUNTIF(Table14623[[#This Row],[Phrases H]],"*H372*"), 10, TRUE, "")</f>
        <v/>
      </c>
      <c r="AO58" s="93" cm="1">
        <f t="array" ref="AO58">_xlfn.IFS(COUNTIF(Table14623[[#This Row],[Phrases H]],"*H410*"), 10, TRUE, "")</f>
        <v>10</v>
      </c>
      <c r="AP58" s="93" t="str" cm="1">
        <f t="array" ref="AP58">_xlfn.IFS(COUNTIF(Table14623[[#This Row],[Phrases H]],"*H373*"), 5, TRUE, "")</f>
        <v/>
      </c>
      <c r="AQ58" s="93" t="str" cm="1">
        <f t="array" ref="AQ58">_xlfn.IFS(COUNTIF(Table14623[[#This Row],[Phrases H]],"*H411*"), 5, TRUE, "")</f>
        <v/>
      </c>
      <c r="AR58" s="94">
        <f t="shared" si="64"/>
        <v>10</v>
      </c>
      <c r="AS58" s="95"/>
      <c r="AT58" s="144" t="s">
        <v>31</v>
      </c>
      <c r="AU58" s="97" t="s">
        <v>337</v>
      </c>
      <c r="AV58" s="98">
        <f t="shared" si="51"/>
        <v>0</v>
      </c>
      <c r="AW58" s="99" t="str">
        <f t="shared" si="52"/>
        <v>N/A</v>
      </c>
      <c r="AX58" s="95"/>
      <c r="AY58" s="100">
        <f t="shared" si="61"/>
        <v>10</v>
      </c>
      <c r="AZ58" s="17"/>
      <c r="BA58" s="144">
        <v>2.5799999999999998E-4</v>
      </c>
      <c r="BB58" s="101">
        <f t="shared" si="59"/>
        <v>10</v>
      </c>
      <c r="BC58" s="98" t="str">
        <f t="shared" si="60"/>
        <v>Très peu mobile</v>
      </c>
      <c r="BD58" s="101">
        <v>5.9068735347220702</v>
      </c>
      <c r="BE58" s="98" t="str">
        <f t="shared" si="62"/>
        <v>Non mobile</v>
      </c>
      <c r="BF58" s="101">
        <v>409.30799999999999</v>
      </c>
      <c r="BG58" s="101">
        <v>1.486E-5</v>
      </c>
      <c r="BH58" s="101">
        <v>1</v>
      </c>
      <c r="BI58" s="98" t="str">
        <f t="shared" si="46"/>
        <v>Non volatil</v>
      </c>
      <c r="BJ58" s="102" t="s">
        <v>31</v>
      </c>
      <c r="BK58" s="103" t="s">
        <v>31</v>
      </c>
      <c r="BL58" s="17"/>
      <c r="BM58" s="104" t="str">
        <f t="shared" si="63"/>
        <v>10, N/A (0), Très peu mobile (solubilité), Non mobile (log Koc), Non volatil, N/A,N/A</v>
      </c>
      <c r="BN58" s="17"/>
      <c r="BO58" s="17"/>
      <c r="BP58" s="17"/>
      <c r="BQ58" s="17"/>
      <c r="BR58" s="17"/>
      <c r="BS58" s="17"/>
      <c r="BT58" s="30">
        <v>10</v>
      </c>
      <c r="BU58" s="31" t="s">
        <v>31</v>
      </c>
      <c r="BV58" s="31" t="s">
        <v>1077</v>
      </c>
      <c r="BW58" s="31" t="s">
        <v>1080</v>
      </c>
      <c r="BX58" s="31" t="s">
        <v>1081</v>
      </c>
      <c r="BY58" s="31" t="s">
        <v>31</v>
      </c>
      <c r="BZ58" s="32" t="s">
        <v>31</v>
      </c>
      <c r="CA58" s="17"/>
      <c r="CB58" s="105" t="s">
        <v>392</v>
      </c>
      <c r="CC58" s="106">
        <v>1</v>
      </c>
      <c r="CD58" s="17"/>
      <c r="CE58" s="107">
        <f t="shared" si="53"/>
        <v>14.333333333333334</v>
      </c>
      <c r="CF58" s="108">
        <f t="shared" si="47"/>
        <v>0.18143459915611815</v>
      </c>
      <c r="CG58" s="17"/>
      <c r="CH58" s="110" t="str">
        <f t="shared" si="48"/>
        <v>Catégorie 1</v>
      </c>
      <c r="CI58" s="111" t="str">
        <f t="shared" si="49"/>
        <v>c</v>
      </c>
      <c r="CJ58" s="112" t="str">
        <f t="shared" si="54"/>
        <v/>
      </c>
      <c r="CK58" s="112" t="str">
        <f t="shared" si="55"/>
        <v/>
      </c>
      <c r="CL58" s="113" t="str">
        <f t="shared" si="56"/>
        <v/>
      </c>
      <c r="CM58" s="113" t="str">
        <f t="shared" si="57"/>
        <v/>
      </c>
      <c r="CN58" s="114" t="str">
        <f t="shared" si="58"/>
        <v/>
      </c>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23"/>
    </row>
    <row r="59" spans="1:121" s="19" customFormat="1" ht="30" customHeight="1" thickBot="1" x14ac:dyDescent="0.4">
      <c r="A59" s="4" t="s">
        <v>586</v>
      </c>
      <c r="B59" s="10" t="s">
        <v>693</v>
      </c>
      <c r="C59" s="10" t="s">
        <v>694</v>
      </c>
      <c r="D59" s="10" t="s">
        <v>695</v>
      </c>
      <c r="E59" s="10" t="s">
        <v>696</v>
      </c>
      <c r="F59" s="10" t="s">
        <v>633</v>
      </c>
      <c r="G59" s="10" t="s">
        <v>697</v>
      </c>
      <c r="H59" s="10" t="s">
        <v>642</v>
      </c>
      <c r="I59" s="10" t="s">
        <v>643</v>
      </c>
      <c r="J59" s="11" t="s">
        <v>31</v>
      </c>
      <c r="K59" s="11"/>
      <c r="L59" s="11" t="s">
        <v>30</v>
      </c>
      <c r="M59" s="11"/>
      <c r="N59" s="11"/>
      <c r="O59" s="11"/>
      <c r="P59" s="11"/>
      <c r="Q59" s="11"/>
      <c r="R59" s="11" t="s">
        <v>31</v>
      </c>
      <c r="S59" s="11"/>
      <c r="T59" s="11" t="s">
        <v>698</v>
      </c>
      <c r="U59" s="11" t="s">
        <v>40</v>
      </c>
      <c r="V59" s="11" t="s">
        <v>715</v>
      </c>
      <c r="W59" s="11" t="s">
        <v>732</v>
      </c>
      <c r="X59" s="11" t="s">
        <v>749</v>
      </c>
      <c r="Y59" s="11" t="s">
        <v>765</v>
      </c>
      <c r="Z59" s="4"/>
      <c r="AA59" s="21">
        <f>LOG(924000)</f>
        <v>5.9656719712201065</v>
      </c>
      <c r="AB59" s="11" t="s">
        <v>780</v>
      </c>
      <c r="AC59" s="11" t="s">
        <v>792</v>
      </c>
      <c r="AD59" s="10"/>
      <c r="AE59" s="146" t="str" cm="1">
        <f t="array" ref="AE59">_xlfn.IFS(COUNTIF(Table14623[[#This Row],[PBT/ vPvB]],"*X*"), 20, TRUE, "")</f>
        <v/>
      </c>
      <c r="AF59" s="147" t="str" cm="1">
        <f t="array" ref="AF59">_xlfn.IFS(COUNTIF(Table14623[[#This Row],[Perturbateur Endocrinien]],"*X*"), 20, TRUE, "")</f>
        <v/>
      </c>
      <c r="AG59" s="147" t="str" cm="1">
        <f t="array" ref="AG59">_xlfn.IFS(COUNTIF(Table14623[[#This Row],[Phrases H]],"*H350*"), 20, TRUE, "")</f>
        <v/>
      </c>
      <c r="AH59" s="147" t="str" cm="1">
        <f t="array" ref="AH59">_xlfn.IFS(COUNTIF(Table14623[[#This Row],[Phrases H]],"*H360*"), 20, TRUE, "")</f>
        <v/>
      </c>
      <c r="AI59" s="147" t="str" cm="1">
        <f t="array" ref="AI59">_xlfn.IFS(COUNTIF(Table14623[[#This Row],[Phrases H]],"*H340*"), 20, TRUE, "")</f>
        <v/>
      </c>
      <c r="AJ59" s="147" t="str" cm="1">
        <f t="array" ref="AJ59">_xlfn.IFS(COUNTIF(Table14623[[#This Row],[Phrases H]],"*H351*"), 10, TRUE, "")</f>
        <v/>
      </c>
      <c r="AK59" s="147" t="str" cm="1">
        <f t="array" ref="AK59">_xlfn.IFS(COUNTIF(Table14623[[#This Row],[Phrases H]],"*H361*"), 10, TRUE, "")</f>
        <v/>
      </c>
      <c r="AL59" s="147" t="str" cm="1">
        <f t="array" ref="AL59">_xlfn.IFS(COUNTIF(Table14623[[#This Row],[Phrases H]],"*H362*"), 10, TRUE, "")</f>
        <v/>
      </c>
      <c r="AM59" s="147" t="str" cm="1">
        <f t="array" ref="AM59">_xlfn.IFS(COUNTIF(Table14623[[#This Row],[Phrases H]],"*H341*"), 10, TRUE, "")</f>
        <v/>
      </c>
      <c r="AN59" s="147" t="str" cm="1">
        <f t="array" ref="AN59">_xlfn.IFS(COUNTIF(Table14623[[#This Row],[Phrases H]],"*H372*"), 10, TRUE, "")</f>
        <v/>
      </c>
      <c r="AO59" s="147" t="str" cm="1">
        <f t="array" ref="AO59">_xlfn.IFS(COUNTIF(Table14623[[#This Row],[Phrases H]],"*H410*"), 10, TRUE, "")</f>
        <v/>
      </c>
      <c r="AP59" s="147" t="str" cm="1">
        <f t="array" ref="AP59">_xlfn.IFS(COUNTIF(Table14623[[#This Row],[Phrases H]],"*H373*"), 5, TRUE, "")</f>
        <v/>
      </c>
      <c r="AQ59" s="147" cm="1">
        <f t="array" ref="AQ59">_xlfn.IFS(COUNTIF(Table14623[[#This Row],[Phrases H]],"*H411*"), 5, TRUE, "")</f>
        <v>5</v>
      </c>
      <c r="AR59" s="148">
        <f t="shared" si="64"/>
        <v>5</v>
      </c>
      <c r="AS59" s="95"/>
      <c r="AT59" s="154" t="s">
        <v>31</v>
      </c>
      <c r="AU59" s="169" t="s">
        <v>337</v>
      </c>
      <c r="AV59" s="156">
        <f t="shared" si="51"/>
        <v>0</v>
      </c>
      <c r="AW59" s="170" t="str">
        <f t="shared" si="52"/>
        <v>N/A</v>
      </c>
      <c r="AX59" s="95"/>
      <c r="AY59" s="153">
        <f t="shared" si="61"/>
        <v>5</v>
      </c>
      <c r="AZ59" s="17"/>
      <c r="BA59" s="154">
        <v>1.11E-6</v>
      </c>
      <c r="BB59" s="155">
        <f t="shared" si="59"/>
        <v>10</v>
      </c>
      <c r="BC59" s="156" t="str">
        <f t="shared" si="60"/>
        <v>Très peu mobile</v>
      </c>
      <c r="BD59" s="155">
        <v>5.9656719712201065</v>
      </c>
      <c r="BE59" s="156" t="str">
        <f t="shared" si="62"/>
        <v>Non mobile</v>
      </c>
      <c r="BF59" s="155">
        <v>443.7</v>
      </c>
      <c r="BG59" s="155">
        <v>5.0048249999999996E-4</v>
      </c>
      <c r="BH59" s="155">
        <v>519.34</v>
      </c>
      <c r="BI59" s="156" t="str">
        <f t="shared" si="46"/>
        <v>Non volatil</v>
      </c>
      <c r="BJ59" s="157" t="s">
        <v>31</v>
      </c>
      <c r="BK59" s="158" t="s">
        <v>341</v>
      </c>
      <c r="BL59" s="17"/>
      <c r="BM59" s="171" t="str">
        <f t="shared" si="63"/>
        <v>5, N/A (0), Très peu mobile (solubilité), Non mobile (log Koc), Non volatil, N/A,EUROFINS</v>
      </c>
      <c r="BN59" s="17"/>
      <c r="BO59" s="17"/>
      <c r="BP59" s="17"/>
      <c r="BQ59" s="17"/>
      <c r="BR59" s="17"/>
      <c r="BS59" s="17"/>
      <c r="BT59" s="44">
        <v>5</v>
      </c>
      <c r="BU59" s="45" t="s">
        <v>31</v>
      </c>
      <c r="BV59" s="45" t="s">
        <v>1077</v>
      </c>
      <c r="BW59" s="45" t="s">
        <v>1080</v>
      </c>
      <c r="BX59" s="45" t="s">
        <v>1081</v>
      </c>
      <c r="BY59" s="45" t="s">
        <v>31</v>
      </c>
      <c r="BZ59" s="32" t="s">
        <v>341</v>
      </c>
      <c r="CA59" s="17"/>
      <c r="CB59" s="160" t="s">
        <v>392</v>
      </c>
      <c r="CC59" s="161">
        <v>1</v>
      </c>
      <c r="CD59" s="17"/>
      <c r="CE59" s="162">
        <f t="shared" si="53"/>
        <v>9.6666666666666679</v>
      </c>
      <c r="CF59" s="163">
        <f t="shared" si="47"/>
        <v>0.12236286919831225</v>
      </c>
      <c r="CG59" s="17"/>
      <c r="CH59" s="164" t="str">
        <f t="shared" si="48"/>
        <v>Catégorie 1</v>
      </c>
      <c r="CI59" s="165" t="str">
        <f t="shared" si="49"/>
        <v/>
      </c>
      <c r="CJ59" s="166" t="str">
        <f t="shared" si="54"/>
        <v/>
      </c>
      <c r="CK59" s="166" t="str">
        <f t="shared" si="55"/>
        <v/>
      </c>
      <c r="CL59" s="167" t="str">
        <f t="shared" si="56"/>
        <v/>
      </c>
      <c r="CM59" s="167" t="str">
        <f t="shared" si="57"/>
        <v/>
      </c>
      <c r="CN59" s="168" t="str">
        <f t="shared" si="58"/>
        <v/>
      </c>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row>
    <row r="60" spans="1:121" s="19" customFormat="1" ht="33.65" customHeight="1" thickBot="1" x14ac:dyDescent="0.4">
      <c r="A60" s="11" t="s">
        <v>1082</v>
      </c>
      <c r="B60" s="11" t="s">
        <v>793</v>
      </c>
      <c r="C60" s="11" t="s">
        <v>794</v>
      </c>
      <c r="D60" s="11" t="s">
        <v>795</v>
      </c>
      <c r="E60" s="11" t="s">
        <v>796</v>
      </c>
      <c r="F60" s="11" t="s">
        <v>797</v>
      </c>
      <c r="G60" s="11" t="s">
        <v>798</v>
      </c>
      <c r="H60" s="11" t="s">
        <v>1083</v>
      </c>
      <c r="I60" s="22" t="s">
        <v>26</v>
      </c>
      <c r="J60" s="11" t="s">
        <v>799</v>
      </c>
      <c r="K60" s="11" t="s">
        <v>30</v>
      </c>
      <c r="L60" s="11" t="s">
        <v>30</v>
      </c>
      <c r="M60" s="11"/>
      <c r="N60" s="11"/>
      <c r="O60" s="11" t="s">
        <v>30</v>
      </c>
      <c r="P60" s="11" t="s">
        <v>30</v>
      </c>
      <c r="Q60" s="11" t="s">
        <v>30</v>
      </c>
      <c r="R60" s="11" t="s">
        <v>31</v>
      </c>
      <c r="S60" s="11"/>
      <c r="T60" s="11" t="s">
        <v>800</v>
      </c>
      <c r="U60" s="11" t="s">
        <v>52</v>
      </c>
      <c r="V60" s="11" t="s">
        <v>801</v>
      </c>
      <c r="W60" s="11" t="s">
        <v>802</v>
      </c>
      <c r="X60" s="11" t="s">
        <v>803</v>
      </c>
      <c r="Y60" s="11">
        <v>4.78</v>
      </c>
      <c r="Z60" s="4"/>
      <c r="AA60" s="21">
        <f>LOG(7880)</f>
        <v>3.8965262174895554</v>
      </c>
      <c r="AB60" s="11" t="s">
        <v>804</v>
      </c>
      <c r="AC60" s="11" t="s">
        <v>805</v>
      </c>
      <c r="AD60" s="10"/>
      <c r="AE60" s="172" cm="1">
        <f t="array" ref="AE60">_xlfn.IFS(COUNTIF(Table14623[[#This Row],[PBT/ vPvB]],"*X*"), 20, TRUE, "")</f>
        <v>20</v>
      </c>
      <c r="AF60" s="173" t="str" cm="1">
        <f t="array" ref="AF60">_xlfn.IFS(COUNTIF(Table14623[[#This Row],[Perturbateur Endocrinien]],"*X*"), 20, TRUE, "")</f>
        <v/>
      </c>
      <c r="AG60" s="173" t="str" cm="1">
        <f t="array" ref="AG60">_xlfn.IFS(COUNTIF(Table14623[[#This Row],[Phrases H]],"*H350*"), 20, TRUE, "")</f>
        <v/>
      </c>
      <c r="AH60" s="173" t="str" cm="1">
        <f t="array" ref="AH60">_xlfn.IFS(COUNTIF(Table14623[[#This Row],[Phrases H]],"*H360*"), 20, TRUE, "")</f>
        <v/>
      </c>
      <c r="AI60" s="173" t="str" cm="1">
        <f t="array" ref="AI60">_xlfn.IFS(COUNTIF(Table14623[[#This Row],[Phrases H]],"*H340*"), 20, TRUE, "")</f>
        <v/>
      </c>
      <c r="AJ60" s="173" cm="1">
        <f t="array" ref="AJ60">_xlfn.IFS(COUNTIF(Table14623[[#This Row],[Phrases H]],"*H351*"), 10, TRUE, "")</f>
        <v>10</v>
      </c>
      <c r="AK60" s="173" t="str" cm="1">
        <f t="array" ref="AK60">_xlfn.IFS(COUNTIF(Table14623[[#This Row],[Phrases H]],"*H361*"), 10, TRUE, "")</f>
        <v/>
      </c>
      <c r="AL60" s="173" t="str" cm="1">
        <f t="array" ref="AL60">_xlfn.IFS(COUNTIF(Table14623[[#This Row],[Phrases H]],"*H362*"), 10, TRUE, "")</f>
        <v/>
      </c>
      <c r="AM60" s="173" t="str" cm="1">
        <f t="array" ref="AM60">_xlfn.IFS(COUNTIF(Table14623[[#This Row],[Phrases H]],"*H341*"), 10, TRUE, "")</f>
        <v/>
      </c>
      <c r="AN60" s="173" t="str" cm="1">
        <f t="array" ref="AN60">_xlfn.IFS(COUNTIF(Table14623[[#This Row],[Phrases H]],"*H372*"), 10, TRUE, "")</f>
        <v/>
      </c>
      <c r="AO60" s="173" cm="1">
        <f t="array" ref="AO60">_xlfn.IFS(COUNTIF(Table14623[[#This Row],[Phrases H]],"*H410*"), 10, TRUE, "")</f>
        <v>10</v>
      </c>
      <c r="AP60" s="173" t="str" cm="1">
        <f t="array" ref="AP60">_xlfn.IFS(COUNTIF(Table14623[[#This Row],[Phrases H]],"*H373*"), 5, TRUE, "")</f>
        <v/>
      </c>
      <c r="AQ60" s="173" t="str" cm="1">
        <f t="array" ref="AQ60">_xlfn.IFS(COUNTIF(Table14623[[#This Row],[Phrases H]],"*H411*"), 5, TRUE, "")</f>
        <v/>
      </c>
      <c r="AR60" s="174">
        <f t="shared" ref="AR60" si="65">SUM(AE60:AQ60)</f>
        <v>40</v>
      </c>
      <c r="AS60" s="95"/>
      <c r="AT60" s="175" t="s">
        <v>31</v>
      </c>
      <c r="AU60" s="176" t="s">
        <v>337</v>
      </c>
      <c r="AV60" s="177">
        <f t="shared" si="51"/>
        <v>0</v>
      </c>
      <c r="AW60" s="178" t="str">
        <f t="shared" si="52"/>
        <v>N/A</v>
      </c>
      <c r="AX60" s="95"/>
      <c r="AY60" s="179">
        <f t="shared" si="61"/>
        <v>40</v>
      </c>
      <c r="AZ60" s="17"/>
      <c r="BA60" s="180">
        <v>3.2</v>
      </c>
      <c r="BB60" s="181">
        <f t="shared" si="59"/>
        <v>20</v>
      </c>
      <c r="BC60" s="182" t="str">
        <f t="shared" si="60"/>
        <v>Peu mobile</v>
      </c>
      <c r="BD60" s="181">
        <v>3.8965262174895554</v>
      </c>
      <c r="BE60" s="182" t="str">
        <f t="shared" si="62"/>
        <v>Non mobile</v>
      </c>
      <c r="BF60" s="181">
        <v>260.8</v>
      </c>
      <c r="BG60" s="181">
        <v>29.3</v>
      </c>
      <c r="BH60" s="181">
        <v>1043.5999999999999</v>
      </c>
      <c r="BI60" s="182" t="str">
        <f t="shared" si="46"/>
        <v>Non volatil</v>
      </c>
      <c r="BJ60" s="183" t="s">
        <v>31</v>
      </c>
      <c r="BK60" s="184" t="s">
        <v>342</v>
      </c>
      <c r="BL60" s="17"/>
      <c r="BM60" s="185" t="str">
        <f t="shared" si="63"/>
        <v>40, N/A (0), Peu mobile (solubilité), Non mobile (log Koc), Non volatil, N/A,SERVACO</v>
      </c>
      <c r="BN60" s="17"/>
      <c r="BO60" s="17"/>
      <c r="BP60" s="17"/>
      <c r="BQ60" s="17"/>
      <c r="BR60" s="17"/>
      <c r="BS60" s="17"/>
      <c r="BT60" s="46">
        <v>40</v>
      </c>
      <c r="BU60" s="47" t="s">
        <v>31</v>
      </c>
      <c r="BV60" s="47" t="s">
        <v>1078</v>
      </c>
      <c r="BW60" s="47" t="s">
        <v>1080</v>
      </c>
      <c r="BX60" s="47" t="s">
        <v>1081</v>
      </c>
      <c r="BY60" s="47" t="s">
        <v>31</v>
      </c>
      <c r="BZ60" s="48" t="s">
        <v>342</v>
      </c>
      <c r="CA60" s="17"/>
      <c r="CB60" s="186" t="s">
        <v>1259</v>
      </c>
      <c r="CC60" s="187">
        <v>2</v>
      </c>
      <c r="CD60" s="17"/>
      <c r="CE60" s="188">
        <f t="shared" si="53"/>
        <v>47.333333333333336</v>
      </c>
      <c r="CF60" s="189">
        <f t="shared" si="47"/>
        <v>0.59915611814345993</v>
      </c>
      <c r="CG60" s="17"/>
      <c r="CH60" s="190" t="str">
        <f t="shared" si="48"/>
        <v>Catégorie 3</v>
      </c>
      <c r="CI60" s="191" t="str">
        <f t="shared" si="49"/>
        <v/>
      </c>
      <c r="CJ60" s="192" t="str">
        <f t="shared" si="54"/>
        <v/>
      </c>
      <c r="CK60" s="192" t="str">
        <f t="shared" si="55"/>
        <v/>
      </c>
      <c r="CL60" s="193" t="str">
        <f t="shared" si="56"/>
        <v/>
      </c>
      <c r="CM60" s="193" t="str">
        <f t="shared" si="57"/>
        <v>Top 50%</v>
      </c>
      <c r="CN60" s="194" t="str">
        <f t="shared" si="58"/>
        <v>Top 75%</v>
      </c>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23"/>
    </row>
    <row r="61" spans="1:121" s="19" customFormat="1" ht="69" customHeight="1" x14ac:dyDescent="0.35">
      <c r="A61" s="4" t="s">
        <v>906</v>
      </c>
      <c r="B61" s="10" t="s">
        <v>806</v>
      </c>
      <c r="C61" s="11" t="s">
        <v>807</v>
      </c>
      <c r="D61" s="11" t="s">
        <v>808</v>
      </c>
      <c r="E61" s="11" t="s">
        <v>809</v>
      </c>
      <c r="F61" s="11" t="s">
        <v>810</v>
      </c>
      <c r="G61" s="11" t="s">
        <v>811</v>
      </c>
      <c r="H61" s="11" t="s">
        <v>812</v>
      </c>
      <c r="I61" s="4"/>
      <c r="J61" s="11" t="s">
        <v>31</v>
      </c>
      <c r="K61" s="11" t="s">
        <v>30</v>
      </c>
      <c r="L61" s="11"/>
      <c r="M61" s="11"/>
      <c r="N61" s="11"/>
      <c r="O61" s="11"/>
      <c r="P61" s="11"/>
      <c r="Q61" s="11" t="s">
        <v>30</v>
      </c>
      <c r="R61" s="11" t="s">
        <v>31</v>
      </c>
      <c r="S61" s="11"/>
      <c r="T61" s="11" t="s">
        <v>907</v>
      </c>
      <c r="U61" s="11" t="s">
        <v>52</v>
      </c>
      <c r="V61" s="12" t="s">
        <v>909</v>
      </c>
      <c r="W61" s="11" t="s">
        <v>927</v>
      </c>
      <c r="X61" s="12" t="s">
        <v>945</v>
      </c>
      <c r="Y61" s="11">
        <v>5.62</v>
      </c>
      <c r="Z61" s="4"/>
      <c r="AA61" s="11">
        <v>4.6100000000000003</v>
      </c>
      <c r="AB61" s="12" t="s">
        <v>964</v>
      </c>
      <c r="AC61" s="11" t="s">
        <v>982</v>
      </c>
      <c r="AD61" s="10"/>
      <c r="AE61" s="123" cm="1">
        <f t="array" ref="AE61">_xlfn.IFS(COUNTIF(Table14623[[#This Row],[PBT/ vPvB]],"*X*"), 20, TRUE, "")</f>
        <v>20</v>
      </c>
      <c r="AF61" s="124" t="str" cm="1">
        <f t="array" ref="AF61">_xlfn.IFS(COUNTIF(Table14623[[#This Row],[Perturbateur Endocrinien]],"*X*"), 20, TRUE, "")</f>
        <v/>
      </c>
      <c r="AG61" s="124" t="str" cm="1">
        <f t="array" ref="AG61">_xlfn.IFS(COUNTIF(Table14623[[#This Row],[Phrases H]],"*H350*"), 20, TRUE, "")</f>
        <v/>
      </c>
      <c r="AH61" s="124" t="str" cm="1">
        <f t="array" ref="AH61">_xlfn.IFS(COUNTIF(Table14623[[#This Row],[Phrases H]],"*H360*"), 20, TRUE, "")</f>
        <v/>
      </c>
      <c r="AI61" s="124" t="str" cm="1">
        <f t="array" ref="AI61">_xlfn.IFS(COUNTIF(Table14623[[#This Row],[Phrases H]],"*H340*"), 20, TRUE, "")</f>
        <v/>
      </c>
      <c r="AJ61" s="124" t="str" cm="1">
        <f t="array" ref="AJ61">_xlfn.IFS(COUNTIF(Table14623[[#This Row],[Phrases H]],"*H351*"), 10, TRUE, "")</f>
        <v/>
      </c>
      <c r="AK61" s="124" t="str" cm="1">
        <f t="array" ref="AK61">_xlfn.IFS(COUNTIF(Table14623[[#This Row],[Phrases H]],"*H361*"), 10, TRUE, "")</f>
        <v/>
      </c>
      <c r="AL61" s="124" t="str" cm="1">
        <f t="array" ref="AL61">_xlfn.IFS(COUNTIF(Table14623[[#This Row],[Phrases H]],"*H362*"), 10, TRUE, "")</f>
        <v/>
      </c>
      <c r="AM61" s="124" t="str" cm="1">
        <f t="array" ref="AM61">_xlfn.IFS(COUNTIF(Table14623[[#This Row],[Phrases H]],"*H341*"), 10, TRUE, "")</f>
        <v/>
      </c>
      <c r="AN61" s="124" t="str" cm="1">
        <f t="array" ref="AN61">_xlfn.IFS(COUNTIF(Table14623[[#This Row],[Phrases H]],"*H372*"), 10, TRUE, "")</f>
        <v/>
      </c>
      <c r="AO61" s="124" cm="1">
        <f t="array" ref="AO61">_xlfn.IFS(COUNTIF(Table14623[[#This Row],[Phrases H]],"*H410*"), 10, TRUE, "")</f>
        <v>10</v>
      </c>
      <c r="AP61" s="124" cm="1">
        <f t="array" ref="AP61">_xlfn.IFS(COUNTIF(Table14623[[#This Row],[Phrases H]],"*H373*"), 5, TRUE, "")</f>
        <v>5</v>
      </c>
      <c r="AQ61" s="124" t="str" cm="1">
        <f t="array" ref="AQ61">_xlfn.IFS(COUNTIF(Table14623[[#This Row],[Phrases H]],"*H411*"), 5, TRUE, "")</f>
        <v/>
      </c>
      <c r="AR61" s="125">
        <f t="shared" ref="AR61:AR78" si="66">SUM(AE61:AQ61)</f>
        <v>35</v>
      </c>
      <c r="AS61" s="95"/>
      <c r="AT61" s="126" t="s">
        <v>31</v>
      </c>
      <c r="AU61" s="127" t="s">
        <v>337</v>
      </c>
      <c r="AV61" s="128">
        <f t="shared" ref="AV61:AV89" si="67">IF(AT61="N/A",0,IF(AT61&lt;=10,5,IF(AT61&lt;=100,10,IF(AT61&lt;=1000,15,IF(AT61&lt;=10000,20,25)))))</f>
        <v>0</v>
      </c>
      <c r="AW61" s="129" t="str">
        <f t="shared" ref="AW61:AW89" si="68">IF(AV61=25,"Production très élevée",IF(AV61=20,"Production élevée",IF(AV61=15,"Production modérée",IF(AV61=10,"Faible production",IF(AV61=5,"Très faible production","N/A")))))</f>
        <v>N/A</v>
      </c>
      <c r="AX61" s="95"/>
      <c r="AY61" s="130">
        <f t="shared" si="61"/>
        <v>35</v>
      </c>
      <c r="AZ61" s="17"/>
      <c r="BA61" s="126">
        <v>8.5000000000000006E-2</v>
      </c>
      <c r="BB61" s="131">
        <f t="shared" si="59"/>
        <v>10</v>
      </c>
      <c r="BC61" s="128" t="str">
        <f t="shared" si="60"/>
        <v>Très peu mobile</v>
      </c>
      <c r="BD61" s="131">
        <v>4.6100000000000003</v>
      </c>
      <c r="BE61" s="128" t="str">
        <f t="shared" si="62"/>
        <v>Non mobile</v>
      </c>
      <c r="BF61" s="131">
        <v>257.5</v>
      </c>
      <c r="BG61" s="131">
        <v>3.4700000000000002E-2</v>
      </c>
      <c r="BH61" s="131">
        <v>19060</v>
      </c>
      <c r="BI61" s="128" t="str">
        <f t="shared" si="46"/>
        <v>Non volatil</v>
      </c>
      <c r="BJ61" s="132" t="s">
        <v>31</v>
      </c>
      <c r="BK61" s="133" t="s">
        <v>342</v>
      </c>
      <c r="BL61" s="17"/>
      <c r="BM61" s="195" t="str">
        <f t="shared" si="63"/>
        <v>35, N/A (0), Très peu mobile (solubilité), Non mobile (log Koc), Non volatil, N/A,SERVACO</v>
      </c>
      <c r="BN61" s="17"/>
      <c r="BO61" s="17"/>
      <c r="BP61" s="17"/>
      <c r="BQ61" s="17"/>
      <c r="BR61" s="17"/>
      <c r="BS61" s="17"/>
      <c r="BT61" s="39">
        <v>35</v>
      </c>
      <c r="BU61" s="40" t="s">
        <v>31</v>
      </c>
      <c r="BV61" s="40" t="s">
        <v>1077</v>
      </c>
      <c r="BW61" s="40" t="s">
        <v>1080</v>
      </c>
      <c r="BX61" s="40" t="s">
        <v>1081</v>
      </c>
      <c r="BY61" s="40" t="s">
        <v>31</v>
      </c>
      <c r="BZ61" s="41" t="s">
        <v>342</v>
      </c>
      <c r="CA61" s="17"/>
      <c r="CB61" s="135" t="s">
        <v>1262</v>
      </c>
      <c r="CC61" s="136">
        <v>4</v>
      </c>
      <c r="CD61" s="17"/>
      <c r="CE61" s="137">
        <f t="shared" si="53"/>
        <v>52.666666666666664</v>
      </c>
      <c r="CF61" s="138">
        <f t="shared" si="47"/>
        <v>0.66666666666666663</v>
      </c>
      <c r="CG61" s="17"/>
      <c r="CH61" s="139" t="str">
        <f t="shared" si="48"/>
        <v>Catégorie 4</v>
      </c>
      <c r="CI61" s="140" t="str">
        <f t="shared" si="49"/>
        <v/>
      </c>
      <c r="CJ61" s="141" t="str">
        <f t="shared" si="54"/>
        <v/>
      </c>
      <c r="CK61" s="141" t="str">
        <f t="shared" si="55"/>
        <v/>
      </c>
      <c r="CL61" s="142" t="str">
        <f t="shared" si="56"/>
        <v/>
      </c>
      <c r="CM61" s="142" t="str">
        <f t="shared" si="57"/>
        <v>Top 50%</v>
      </c>
      <c r="CN61" s="143" t="str">
        <f t="shared" si="58"/>
        <v>Top 75%</v>
      </c>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row>
    <row r="62" spans="1:121" s="19" customFormat="1" ht="73" customHeight="1" x14ac:dyDescent="0.35">
      <c r="A62" s="4" t="s">
        <v>906</v>
      </c>
      <c r="B62" s="10" t="s">
        <v>813</v>
      </c>
      <c r="C62" s="11" t="s">
        <v>814</v>
      </c>
      <c r="D62" s="11" t="s">
        <v>815</v>
      </c>
      <c r="E62" s="11" t="s">
        <v>816</v>
      </c>
      <c r="F62" s="11" t="s">
        <v>817</v>
      </c>
      <c r="G62" s="11" t="s">
        <v>818</v>
      </c>
      <c r="H62" s="11" t="s">
        <v>812</v>
      </c>
      <c r="I62" s="4"/>
      <c r="J62" s="11" t="s">
        <v>31</v>
      </c>
      <c r="K62" s="11" t="s">
        <v>30</v>
      </c>
      <c r="L62" s="11"/>
      <c r="M62" s="11"/>
      <c r="N62" s="11"/>
      <c r="O62" s="11"/>
      <c r="P62" s="11"/>
      <c r="Q62" s="11" t="s">
        <v>30</v>
      </c>
      <c r="R62" s="11" t="s">
        <v>31</v>
      </c>
      <c r="S62" s="11"/>
      <c r="T62" s="11" t="s">
        <v>907</v>
      </c>
      <c r="U62" s="11" t="s">
        <v>52</v>
      </c>
      <c r="V62" s="11" t="s">
        <v>910</v>
      </c>
      <c r="W62" s="11" t="s">
        <v>928</v>
      </c>
      <c r="X62" s="12" t="s">
        <v>946</v>
      </c>
      <c r="Y62" s="11">
        <v>5.72</v>
      </c>
      <c r="Z62" s="4"/>
      <c r="AA62" s="11">
        <v>5.25</v>
      </c>
      <c r="AB62" s="12" t="s">
        <v>965</v>
      </c>
      <c r="AC62" s="11" t="s">
        <v>983</v>
      </c>
      <c r="AD62" s="10"/>
      <c r="AE62" s="92" cm="1">
        <f t="array" ref="AE62">_xlfn.IFS(COUNTIF(Table14623[[#This Row],[PBT/ vPvB]],"*X*"), 20, TRUE, "")</f>
        <v>20</v>
      </c>
      <c r="AF62" s="93" t="str" cm="1">
        <f t="array" ref="AF62">_xlfn.IFS(COUNTIF(Table14623[[#This Row],[Perturbateur Endocrinien]],"*X*"), 20, TRUE, "")</f>
        <v/>
      </c>
      <c r="AG62" s="93" t="str" cm="1">
        <f t="array" ref="AG62">_xlfn.IFS(COUNTIF(Table14623[[#This Row],[Phrases H]],"*H350*"), 20, TRUE, "")</f>
        <v/>
      </c>
      <c r="AH62" s="93" t="str" cm="1">
        <f t="array" ref="AH62">_xlfn.IFS(COUNTIF(Table14623[[#This Row],[Phrases H]],"*H360*"), 20, TRUE, "")</f>
        <v/>
      </c>
      <c r="AI62" s="93" t="str" cm="1">
        <f t="array" ref="AI62">_xlfn.IFS(COUNTIF(Table14623[[#This Row],[Phrases H]],"*H340*"), 20, TRUE, "")</f>
        <v/>
      </c>
      <c r="AJ62" s="93" t="str" cm="1">
        <f t="array" ref="AJ62">_xlfn.IFS(COUNTIF(Table14623[[#This Row],[Phrases H]],"*H351*"), 10, TRUE, "")</f>
        <v/>
      </c>
      <c r="AK62" s="93" t="str" cm="1">
        <f t="array" ref="AK62">_xlfn.IFS(COUNTIF(Table14623[[#This Row],[Phrases H]],"*H361*"), 10, TRUE, "")</f>
        <v/>
      </c>
      <c r="AL62" s="93" t="str" cm="1">
        <f t="array" ref="AL62">_xlfn.IFS(COUNTIF(Table14623[[#This Row],[Phrases H]],"*H362*"), 10, TRUE, "")</f>
        <v/>
      </c>
      <c r="AM62" s="93" t="str" cm="1">
        <f t="array" ref="AM62">_xlfn.IFS(COUNTIF(Table14623[[#This Row],[Phrases H]],"*H341*"), 10, TRUE, "")</f>
        <v/>
      </c>
      <c r="AN62" s="93" t="str" cm="1">
        <f t="array" ref="AN62">_xlfn.IFS(COUNTIF(Table14623[[#This Row],[Phrases H]],"*H372*"), 10, TRUE, "")</f>
        <v/>
      </c>
      <c r="AO62" s="93" cm="1">
        <f t="array" ref="AO62">_xlfn.IFS(COUNTIF(Table14623[[#This Row],[Phrases H]],"*H410*"), 10, TRUE, "")</f>
        <v>10</v>
      </c>
      <c r="AP62" s="93" cm="1">
        <f t="array" ref="AP62">_xlfn.IFS(COUNTIF(Table14623[[#This Row],[Phrases H]],"*H373*"), 5, TRUE, "")</f>
        <v>5</v>
      </c>
      <c r="AQ62" s="93" t="str" cm="1">
        <f t="array" ref="AQ62">_xlfn.IFS(COUNTIF(Table14623[[#This Row],[Phrases H]],"*H411*"), 5, TRUE, "")</f>
        <v/>
      </c>
      <c r="AR62" s="94">
        <f t="shared" si="66"/>
        <v>35</v>
      </c>
      <c r="AS62" s="95"/>
      <c r="AT62" s="144" t="s">
        <v>31</v>
      </c>
      <c r="AU62" s="97" t="s">
        <v>337</v>
      </c>
      <c r="AV62" s="98">
        <f t="shared" si="67"/>
        <v>0</v>
      </c>
      <c r="AW62" s="99" t="str">
        <f t="shared" si="68"/>
        <v>N/A</v>
      </c>
      <c r="AX62" s="95"/>
      <c r="AY62" s="100">
        <f t="shared" si="61"/>
        <v>35</v>
      </c>
      <c r="AZ62" s="17"/>
      <c r="BA62" s="144">
        <v>6.0000000000000001E-3</v>
      </c>
      <c r="BB62" s="101">
        <f t="shared" si="59"/>
        <v>10</v>
      </c>
      <c r="BC62" s="98" t="str">
        <f t="shared" si="60"/>
        <v>Très peu mobile</v>
      </c>
      <c r="BD62" s="101">
        <v>5.25</v>
      </c>
      <c r="BE62" s="98" t="str">
        <f t="shared" si="62"/>
        <v>Non mobile</v>
      </c>
      <c r="BF62" s="101">
        <v>292</v>
      </c>
      <c r="BG62" s="101">
        <v>2.5300000000000001E-3</v>
      </c>
      <c r="BH62" s="101">
        <v>16130</v>
      </c>
      <c r="BI62" s="98" t="str">
        <f t="shared" si="46"/>
        <v>Non volatil</v>
      </c>
      <c r="BJ62" s="102" t="s">
        <v>31</v>
      </c>
      <c r="BK62" s="103" t="s">
        <v>342</v>
      </c>
      <c r="BL62" s="17"/>
      <c r="BM62" s="159" t="str">
        <f t="shared" si="63"/>
        <v>35, N/A (0), Très peu mobile (solubilité), Non mobile (log Koc), Non volatil, N/A,SERVACO</v>
      </c>
      <c r="BN62" s="17"/>
      <c r="BO62" s="17"/>
      <c r="BP62" s="17"/>
      <c r="BQ62" s="17"/>
      <c r="BR62" s="17"/>
      <c r="BS62" s="17"/>
      <c r="BT62" s="30">
        <v>35</v>
      </c>
      <c r="BU62" s="31" t="s">
        <v>31</v>
      </c>
      <c r="BV62" s="31" t="s">
        <v>1077</v>
      </c>
      <c r="BW62" s="31" t="s">
        <v>1080</v>
      </c>
      <c r="BX62" s="31" t="s">
        <v>1081</v>
      </c>
      <c r="BY62" s="31" t="s">
        <v>31</v>
      </c>
      <c r="BZ62" s="32" t="s">
        <v>342</v>
      </c>
      <c r="CA62" s="17"/>
      <c r="CB62" s="105" t="s">
        <v>1262</v>
      </c>
      <c r="CC62" s="106">
        <v>4</v>
      </c>
      <c r="CD62" s="17"/>
      <c r="CE62" s="107">
        <f t="shared" si="53"/>
        <v>52.666666666666664</v>
      </c>
      <c r="CF62" s="108">
        <f t="shared" si="47"/>
        <v>0.66666666666666663</v>
      </c>
      <c r="CG62" s="17"/>
      <c r="CH62" s="110" t="str">
        <f t="shared" si="48"/>
        <v>Catégorie 4</v>
      </c>
      <c r="CI62" s="111" t="str">
        <f t="shared" si="49"/>
        <v/>
      </c>
      <c r="CJ62" s="112" t="str">
        <f t="shared" si="54"/>
        <v/>
      </c>
      <c r="CK62" s="112" t="str">
        <f t="shared" si="55"/>
        <v/>
      </c>
      <c r="CL62" s="113" t="str">
        <f t="shared" si="56"/>
        <v/>
      </c>
      <c r="CM62" s="113" t="str">
        <f t="shared" si="57"/>
        <v>Top 50%</v>
      </c>
      <c r="CN62" s="114" t="str">
        <f t="shared" si="58"/>
        <v>Top 75%</v>
      </c>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23"/>
    </row>
    <row r="63" spans="1:121" s="19" customFormat="1" ht="71.5" customHeight="1" x14ac:dyDescent="0.35">
      <c r="A63" s="4" t="s">
        <v>906</v>
      </c>
      <c r="B63" s="10" t="s">
        <v>819</v>
      </c>
      <c r="C63" s="11" t="s">
        <v>820</v>
      </c>
      <c r="D63" s="11" t="s">
        <v>821</v>
      </c>
      <c r="E63" s="11" t="s">
        <v>822</v>
      </c>
      <c r="F63" s="11" t="s">
        <v>823</v>
      </c>
      <c r="G63" s="11" t="s">
        <v>824</v>
      </c>
      <c r="H63" s="11" t="s">
        <v>812</v>
      </c>
      <c r="I63" s="4"/>
      <c r="J63" s="11" t="s">
        <v>31</v>
      </c>
      <c r="K63" s="11" t="s">
        <v>30</v>
      </c>
      <c r="L63" s="11"/>
      <c r="M63" s="11"/>
      <c r="N63" s="11"/>
      <c r="O63" s="11"/>
      <c r="P63" s="11"/>
      <c r="Q63" s="11" t="s">
        <v>30</v>
      </c>
      <c r="R63" s="11" t="s">
        <v>31</v>
      </c>
      <c r="S63" s="11"/>
      <c r="T63" s="11" t="s">
        <v>907</v>
      </c>
      <c r="U63" s="11" t="s">
        <v>52</v>
      </c>
      <c r="V63" s="11" t="s">
        <v>911</v>
      </c>
      <c r="W63" s="11" t="s">
        <v>929</v>
      </c>
      <c r="X63" s="12" t="s">
        <v>947</v>
      </c>
      <c r="Y63" s="11">
        <v>6.8</v>
      </c>
      <c r="Z63" s="4"/>
      <c r="AA63" s="11">
        <v>5.14</v>
      </c>
      <c r="AB63" s="12" t="s">
        <v>966</v>
      </c>
      <c r="AC63" s="11" t="s">
        <v>984</v>
      </c>
      <c r="AD63" s="10"/>
      <c r="AE63" s="92" cm="1">
        <f t="array" ref="AE63">_xlfn.IFS(COUNTIF(Table14623[[#This Row],[PBT/ vPvB]],"*X*"), 20, TRUE, "")</f>
        <v>20</v>
      </c>
      <c r="AF63" s="93" t="str" cm="1">
        <f t="array" ref="AF63">_xlfn.IFS(COUNTIF(Table14623[[#This Row],[Perturbateur Endocrinien]],"*X*"), 20, TRUE, "")</f>
        <v/>
      </c>
      <c r="AG63" s="93" t="str" cm="1">
        <f t="array" ref="AG63">_xlfn.IFS(COUNTIF(Table14623[[#This Row],[Phrases H]],"*H350*"), 20, TRUE, "")</f>
        <v/>
      </c>
      <c r="AH63" s="93" t="str" cm="1">
        <f t="array" ref="AH63">_xlfn.IFS(COUNTIF(Table14623[[#This Row],[Phrases H]],"*H360*"), 20, TRUE, "")</f>
        <v/>
      </c>
      <c r="AI63" s="93" t="str" cm="1">
        <f t="array" ref="AI63">_xlfn.IFS(COUNTIF(Table14623[[#This Row],[Phrases H]],"*H340*"), 20, TRUE, "")</f>
        <v/>
      </c>
      <c r="AJ63" s="93" t="str" cm="1">
        <f t="array" ref="AJ63">_xlfn.IFS(COUNTIF(Table14623[[#This Row],[Phrases H]],"*H351*"), 10, TRUE, "")</f>
        <v/>
      </c>
      <c r="AK63" s="93" t="str" cm="1">
        <f t="array" ref="AK63">_xlfn.IFS(COUNTIF(Table14623[[#This Row],[Phrases H]],"*H361*"), 10, TRUE, "")</f>
        <v/>
      </c>
      <c r="AL63" s="93" t="str" cm="1">
        <f t="array" ref="AL63">_xlfn.IFS(COUNTIF(Table14623[[#This Row],[Phrases H]],"*H362*"), 10, TRUE, "")</f>
        <v/>
      </c>
      <c r="AM63" s="93" t="str" cm="1">
        <f t="array" ref="AM63">_xlfn.IFS(COUNTIF(Table14623[[#This Row],[Phrases H]],"*H341*"), 10, TRUE, "")</f>
        <v/>
      </c>
      <c r="AN63" s="93" t="str" cm="1">
        <f t="array" ref="AN63">_xlfn.IFS(COUNTIF(Table14623[[#This Row],[Phrases H]],"*H372*"), 10, TRUE, "")</f>
        <v/>
      </c>
      <c r="AO63" s="93" cm="1">
        <f t="array" ref="AO63">_xlfn.IFS(COUNTIF(Table14623[[#This Row],[Phrases H]],"*H410*"), 10, TRUE, "")</f>
        <v>10</v>
      </c>
      <c r="AP63" s="93" cm="1">
        <f t="array" ref="AP63">_xlfn.IFS(COUNTIF(Table14623[[#This Row],[Phrases H]],"*H373*"), 5, TRUE, "")</f>
        <v>5</v>
      </c>
      <c r="AQ63" s="93" t="str" cm="1">
        <f t="array" ref="AQ63">_xlfn.IFS(COUNTIF(Table14623[[#This Row],[Phrases H]],"*H411*"), 5, TRUE, "")</f>
        <v/>
      </c>
      <c r="AR63" s="94">
        <f t="shared" si="66"/>
        <v>35</v>
      </c>
      <c r="AS63" s="95"/>
      <c r="AT63" s="144" t="s">
        <v>31</v>
      </c>
      <c r="AU63" s="97" t="s">
        <v>337</v>
      </c>
      <c r="AV63" s="98">
        <f t="shared" si="67"/>
        <v>0</v>
      </c>
      <c r="AW63" s="99" t="str">
        <f t="shared" si="68"/>
        <v>N/A</v>
      </c>
      <c r="AX63" s="95"/>
      <c r="AY63" s="100">
        <f t="shared" si="61"/>
        <v>35</v>
      </c>
      <c r="AZ63" s="17"/>
      <c r="BA63" s="144">
        <v>4.2399999999999998E-3</v>
      </c>
      <c r="BB63" s="101">
        <f t="shared" si="59"/>
        <v>10</v>
      </c>
      <c r="BC63" s="98" t="str">
        <f t="shared" si="60"/>
        <v>Très peu mobile</v>
      </c>
      <c r="BD63" s="101">
        <v>5.14</v>
      </c>
      <c r="BE63" s="98" t="str">
        <f t="shared" si="62"/>
        <v>Non mobile</v>
      </c>
      <c r="BF63" s="101">
        <v>326.39999999999998</v>
      </c>
      <c r="BG63" s="101">
        <v>1.09E-3</v>
      </c>
      <c r="BH63" s="101">
        <v>22.2</v>
      </c>
      <c r="BI63" s="98" t="str">
        <f t="shared" si="46"/>
        <v>Non volatil</v>
      </c>
      <c r="BJ63" s="102" t="s">
        <v>31</v>
      </c>
      <c r="BK63" s="103" t="s">
        <v>342</v>
      </c>
      <c r="BL63" s="17"/>
      <c r="BM63" s="159" t="str">
        <f t="shared" si="63"/>
        <v>35, N/A (0), Très peu mobile (solubilité), Non mobile (log Koc), Non volatil, N/A,SERVACO</v>
      </c>
      <c r="BN63" s="17"/>
      <c r="BO63" s="17"/>
      <c r="BP63" s="17"/>
      <c r="BQ63" s="17"/>
      <c r="BR63" s="17"/>
      <c r="BS63" s="17"/>
      <c r="BT63" s="30">
        <v>35</v>
      </c>
      <c r="BU63" s="31" t="s">
        <v>31</v>
      </c>
      <c r="BV63" s="31" t="s">
        <v>1077</v>
      </c>
      <c r="BW63" s="31" t="s">
        <v>1080</v>
      </c>
      <c r="BX63" s="31" t="s">
        <v>1081</v>
      </c>
      <c r="BY63" s="31" t="s">
        <v>31</v>
      </c>
      <c r="BZ63" s="32" t="s">
        <v>342</v>
      </c>
      <c r="CA63" s="17"/>
      <c r="CB63" s="105" t="s">
        <v>1262</v>
      </c>
      <c r="CC63" s="106">
        <v>4</v>
      </c>
      <c r="CD63" s="17"/>
      <c r="CE63" s="107">
        <f t="shared" si="53"/>
        <v>52.666666666666664</v>
      </c>
      <c r="CF63" s="108">
        <f t="shared" si="47"/>
        <v>0.66666666666666663</v>
      </c>
      <c r="CG63" s="17"/>
      <c r="CH63" s="110" t="str">
        <f t="shared" si="48"/>
        <v>Catégorie 4</v>
      </c>
      <c r="CI63" s="111" t="str">
        <f t="shared" si="49"/>
        <v/>
      </c>
      <c r="CJ63" s="112" t="str">
        <f t="shared" si="54"/>
        <v/>
      </c>
      <c r="CK63" s="112" t="str">
        <f t="shared" si="55"/>
        <v/>
      </c>
      <c r="CL63" s="113" t="str">
        <f t="shared" si="56"/>
        <v/>
      </c>
      <c r="CM63" s="113" t="str">
        <f t="shared" si="57"/>
        <v>Top 50%</v>
      </c>
      <c r="CN63" s="114" t="str">
        <f t="shared" si="58"/>
        <v>Top 75%</v>
      </c>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row>
    <row r="64" spans="1:121" s="19" customFormat="1" ht="71.5" customHeight="1" x14ac:dyDescent="0.35">
      <c r="A64" s="4" t="s">
        <v>906</v>
      </c>
      <c r="B64" s="10" t="s">
        <v>825</v>
      </c>
      <c r="C64" s="11" t="s">
        <v>826</v>
      </c>
      <c r="D64" s="11" t="s">
        <v>827</v>
      </c>
      <c r="E64" s="11" t="s">
        <v>828</v>
      </c>
      <c r="F64" s="11" t="s">
        <v>823</v>
      </c>
      <c r="G64" s="11" t="s">
        <v>829</v>
      </c>
      <c r="H64" s="11" t="s">
        <v>830</v>
      </c>
      <c r="I64" s="4"/>
      <c r="J64" s="11" t="s">
        <v>31</v>
      </c>
      <c r="K64" s="11" t="s">
        <v>30</v>
      </c>
      <c r="L64" s="11"/>
      <c r="M64" s="11"/>
      <c r="N64" s="11"/>
      <c r="O64" s="11"/>
      <c r="P64" s="11"/>
      <c r="Q64" s="11" t="s">
        <v>30</v>
      </c>
      <c r="R64" s="11" t="s">
        <v>31</v>
      </c>
      <c r="S64" s="11"/>
      <c r="T64" s="11" t="s">
        <v>907</v>
      </c>
      <c r="U64" s="11" t="s">
        <v>52</v>
      </c>
      <c r="V64" s="11" t="s">
        <v>912</v>
      </c>
      <c r="W64" s="11" t="s">
        <v>930</v>
      </c>
      <c r="X64" s="12" t="s">
        <v>948</v>
      </c>
      <c r="Y64" s="11">
        <v>6.84</v>
      </c>
      <c r="Z64" s="4"/>
      <c r="AA64" s="11">
        <v>5.91</v>
      </c>
      <c r="AB64" s="12" t="s">
        <v>967</v>
      </c>
      <c r="AC64" s="11" t="s">
        <v>985</v>
      </c>
      <c r="AD64" s="10"/>
      <c r="AE64" s="92" cm="1">
        <f t="array" ref="AE64">_xlfn.IFS(COUNTIF(Table14623[[#This Row],[PBT/ vPvB]],"*X*"), 20, TRUE, "")</f>
        <v>20</v>
      </c>
      <c r="AF64" s="93" t="str" cm="1">
        <f t="array" ref="AF64">_xlfn.IFS(COUNTIF(Table14623[[#This Row],[Perturbateur Endocrinien]],"*X*"), 20, TRUE, "")</f>
        <v/>
      </c>
      <c r="AG64" s="93" t="str" cm="1">
        <f t="array" ref="AG64">_xlfn.IFS(COUNTIF(Table14623[[#This Row],[Phrases H]],"*H350*"), 20, TRUE, "")</f>
        <v/>
      </c>
      <c r="AH64" s="93" t="str" cm="1">
        <f t="array" ref="AH64">_xlfn.IFS(COUNTIF(Table14623[[#This Row],[Phrases H]],"*H360*"), 20, TRUE, "")</f>
        <v/>
      </c>
      <c r="AI64" s="93" t="str" cm="1">
        <f t="array" ref="AI64">_xlfn.IFS(COUNTIF(Table14623[[#This Row],[Phrases H]],"*H340*"), 20, TRUE, "")</f>
        <v/>
      </c>
      <c r="AJ64" s="93" t="str" cm="1">
        <f t="array" ref="AJ64">_xlfn.IFS(COUNTIF(Table14623[[#This Row],[Phrases H]],"*H351*"), 10, TRUE, "")</f>
        <v/>
      </c>
      <c r="AK64" s="93" t="str" cm="1">
        <f t="array" ref="AK64">_xlfn.IFS(COUNTIF(Table14623[[#This Row],[Phrases H]],"*H361*"), 10, TRUE, "")</f>
        <v/>
      </c>
      <c r="AL64" s="93" t="str" cm="1">
        <f t="array" ref="AL64">_xlfn.IFS(COUNTIF(Table14623[[#This Row],[Phrases H]],"*H362*"), 10, TRUE, "")</f>
        <v/>
      </c>
      <c r="AM64" s="93" t="str" cm="1">
        <f t="array" ref="AM64">_xlfn.IFS(COUNTIF(Table14623[[#This Row],[Phrases H]],"*H341*"), 10, TRUE, "")</f>
        <v/>
      </c>
      <c r="AN64" s="93" t="str" cm="1">
        <f t="array" ref="AN64">_xlfn.IFS(COUNTIF(Table14623[[#This Row],[Phrases H]],"*H372*"), 10, TRUE, "")</f>
        <v/>
      </c>
      <c r="AO64" s="93" cm="1">
        <f t="array" ref="AO64">_xlfn.IFS(COUNTIF(Table14623[[#This Row],[Phrases H]],"*H410*"), 10, TRUE, "")</f>
        <v>10</v>
      </c>
      <c r="AP64" s="93" cm="1">
        <f t="array" ref="AP64">_xlfn.IFS(COUNTIF(Table14623[[#This Row],[Phrases H]],"*H373*"), 5, TRUE, "")</f>
        <v>5</v>
      </c>
      <c r="AQ64" s="93" t="str" cm="1">
        <f t="array" ref="AQ64">_xlfn.IFS(COUNTIF(Table14623[[#This Row],[Phrases H]],"*H411*"), 5, TRUE, "")</f>
        <v/>
      </c>
      <c r="AR64" s="94">
        <f t="shared" si="66"/>
        <v>35</v>
      </c>
      <c r="AS64" s="95"/>
      <c r="AT64" s="144" t="s">
        <v>31</v>
      </c>
      <c r="AU64" s="97" t="s">
        <v>337</v>
      </c>
      <c r="AV64" s="98">
        <f t="shared" si="67"/>
        <v>0</v>
      </c>
      <c r="AW64" s="99" t="str">
        <f t="shared" si="68"/>
        <v>N/A</v>
      </c>
      <c r="AX64" s="95"/>
      <c r="AY64" s="100">
        <f t="shared" si="61"/>
        <v>35</v>
      </c>
      <c r="AZ64" s="17"/>
      <c r="BA64" s="144">
        <v>2.0699999999999998E-3</v>
      </c>
      <c r="BB64" s="101">
        <f t="shared" si="59"/>
        <v>10</v>
      </c>
      <c r="BC64" s="98" t="str">
        <f t="shared" si="60"/>
        <v>Très peu mobile</v>
      </c>
      <c r="BD64" s="101">
        <v>5.91</v>
      </c>
      <c r="BE64" s="98" t="str">
        <f t="shared" si="62"/>
        <v>Non mobile</v>
      </c>
      <c r="BF64" s="101">
        <v>326.39999999999998</v>
      </c>
      <c r="BG64" s="101">
        <v>3.5399999999999999E-4</v>
      </c>
      <c r="BH64" s="101">
        <v>12810</v>
      </c>
      <c r="BI64" s="98" t="str">
        <f t="shared" si="46"/>
        <v>Non volatil</v>
      </c>
      <c r="BJ64" s="102" t="s">
        <v>31</v>
      </c>
      <c r="BK64" s="103" t="s">
        <v>31</v>
      </c>
      <c r="BL64" s="17"/>
      <c r="BM64" s="159" t="str">
        <f t="shared" si="63"/>
        <v>35, N/A (0), Très peu mobile (solubilité), Non mobile (log Koc), Non volatil, N/A,N/A</v>
      </c>
      <c r="BN64" s="17"/>
      <c r="BO64" s="17"/>
      <c r="BP64" s="17"/>
      <c r="BQ64" s="17"/>
      <c r="BR64" s="17"/>
      <c r="BS64" s="17"/>
      <c r="BT64" s="30">
        <v>35</v>
      </c>
      <c r="BU64" s="31" t="s">
        <v>31</v>
      </c>
      <c r="BV64" s="31" t="s">
        <v>1077</v>
      </c>
      <c r="BW64" s="31" t="s">
        <v>1080</v>
      </c>
      <c r="BX64" s="31" t="s">
        <v>1081</v>
      </c>
      <c r="BY64" s="31" t="s">
        <v>31</v>
      </c>
      <c r="BZ64" s="32" t="s">
        <v>31</v>
      </c>
      <c r="CA64" s="17"/>
      <c r="CB64" s="105" t="s">
        <v>1262</v>
      </c>
      <c r="CC64" s="106">
        <v>4</v>
      </c>
      <c r="CD64" s="17"/>
      <c r="CE64" s="107">
        <f t="shared" si="53"/>
        <v>52.666666666666664</v>
      </c>
      <c r="CF64" s="108">
        <f t="shared" si="47"/>
        <v>0.66666666666666663</v>
      </c>
      <c r="CG64" s="17"/>
      <c r="CH64" s="110" t="str">
        <f t="shared" si="48"/>
        <v>Catégorie 4</v>
      </c>
      <c r="CI64" s="111" t="str">
        <f t="shared" si="49"/>
        <v>c</v>
      </c>
      <c r="CJ64" s="112" t="str">
        <f t="shared" si="54"/>
        <v/>
      </c>
      <c r="CK64" s="112" t="str">
        <f t="shared" si="55"/>
        <v/>
      </c>
      <c r="CL64" s="113" t="str">
        <f t="shared" si="56"/>
        <v/>
      </c>
      <c r="CM64" s="113" t="str">
        <f t="shared" si="57"/>
        <v>Top 50%</v>
      </c>
      <c r="CN64" s="114" t="str">
        <f t="shared" si="58"/>
        <v>Top 75%</v>
      </c>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23"/>
    </row>
    <row r="65" spans="1:121" s="19" customFormat="1" ht="70.5" customHeight="1" x14ac:dyDescent="0.35">
      <c r="A65" s="4" t="s">
        <v>906</v>
      </c>
      <c r="B65" s="10" t="s">
        <v>831</v>
      </c>
      <c r="C65" s="11" t="s">
        <v>832</v>
      </c>
      <c r="D65" s="11" t="s">
        <v>833</v>
      </c>
      <c r="E65" s="11" t="s">
        <v>834</v>
      </c>
      <c r="F65" s="11" t="s">
        <v>835</v>
      </c>
      <c r="G65" s="11" t="s">
        <v>836</v>
      </c>
      <c r="H65" s="11" t="s">
        <v>812</v>
      </c>
      <c r="I65" s="4"/>
      <c r="J65" s="11" t="s">
        <v>31</v>
      </c>
      <c r="K65" s="11" t="s">
        <v>30</v>
      </c>
      <c r="L65" s="11"/>
      <c r="M65" s="11"/>
      <c r="N65" s="11"/>
      <c r="O65" s="11"/>
      <c r="P65" s="11"/>
      <c r="Q65" s="11" t="s">
        <v>30</v>
      </c>
      <c r="R65" s="11" t="s">
        <v>31</v>
      </c>
      <c r="S65" s="11"/>
      <c r="T65" s="11" t="s">
        <v>907</v>
      </c>
      <c r="U65" s="11" t="s">
        <v>52</v>
      </c>
      <c r="V65" s="11" t="s">
        <v>913</v>
      </c>
      <c r="W65" s="11" t="s">
        <v>931</v>
      </c>
      <c r="X65" s="12" t="s">
        <v>949</v>
      </c>
      <c r="Y65" s="11">
        <v>7.25</v>
      </c>
      <c r="Z65" s="4"/>
      <c r="AA65" s="11">
        <v>6.44</v>
      </c>
      <c r="AB65" s="12" t="s">
        <v>968</v>
      </c>
      <c r="AC65" s="11" t="s">
        <v>986</v>
      </c>
      <c r="AD65" s="10"/>
      <c r="AE65" s="92" cm="1">
        <f t="array" ref="AE65">_xlfn.IFS(COUNTIF(Table14623[[#This Row],[PBT/ vPvB]],"*X*"), 20, TRUE, "")</f>
        <v>20</v>
      </c>
      <c r="AF65" s="93" t="str" cm="1">
        <f t="array" ref="AF65">_xlfn.IFS(COUNTIF(Table14623[[#This Row],[Perturbateur Endocrinien]],"*X*"), 20, TRUE, "")</f>
        <v/>
      </c>
      <c r="AG65" s="93" t="str" cm="1">
        <f t="array" ref="AG65">_xlfn.IFS(COUNTIF(Table14623[[#This Row],[Phrases H]],"*H350*"), 20, TRUE, "")</f>
        <v/>
      </c>
      <c r="AH65" s="93" t="str" cm="1">
        <f t="array" ref="AH65">_xlfn.IFS(COUNTIF(Table14623[[#This Row],[Phrases H]],"*H360*"), 20, TRUE, "")</f>
        <v/>
      </c>
      <c r="AI65" s="93" t="str" cm="1">
        <f t="array" ref="AI65">_xlfn.IFS(COUNTIF(Table14623[[#This Row],[Phrases H]],"*H340*"), 20, TRUE, "")</f>
        <v/>
      </c>
      <c r="AJ65" s="93" t="str" cm="1">
        <f t="array" ref="AJ65">_xlfn.IFS(COUNTIF(Table14623[[#This Row],[Phrases H]],"*H351*"), 10, TRUE, "")</f>
        <v/>
      </c>
      <c r="AK65" s="93" t="str" cm="1">
        <f t="array" ref="AK65">_xlfn.IFS(COUNTIF(Table14623[[#This Row],[Phrases H]],"*H361*"), 10, TRUE, "")</f>
        <v/>
      </c>
      <c r="AL65" s="93" t="str" cm="1">
        <f t="array" ref="AL65">_xlfn.IFS(COUNTIF(Table14623[[#This Row],[Phrases H]],"*H362*"), 10, TRUE, "")</f>
        <v/>
      </c>
      <c r="AM65" s="93" t="str" cm="1">
        <f t="array" ref="AM65">_xlfn.IFS(COUNTIF(Table14623[[#This Row],[Phrases H]],"*H341*"), 10, TRUE, "")</f>
        <v/>
      </c>
      <c r="AN65" s="93" t="str" cm="1">
        <f t="array" ref="AN65">_xlfn.IFS(COUNTIF(Table14623[[#This Row],[Phrases H]],"*H372*"), 10, TRUE, "")</f>
        <v/>
      </c>
      <c r="AO65" s="93" cm="1">
        <f t="array" ref="AO65">_xlfn.IFS(COUNTIF(Table14623[[#This Row],[Phrases H]],"*H410*"), 10, TRUE, "")</f>
        <v>10</v>
      </c>
      <c r="AP65" s="93" cm="1">
        <f t="array" ref="AP65">_xlfn.IFS(COUNTIF(Table14623[[#This Row],[Phrases H]],"*H373*"), 5, TRUE, "")</f>
        <v>5</v>
      </c>
      <c r="AQ65" s="93" t="str" cm="1">
        <f t="array" ref="AQ65">_xlfn.IFS(COUNTIF(Table14623[[#This Row],[Phrases H]],"*H411*"), 5, TRUE, "")</f>
        <v/>
      </c>
      <c r="AR65" s="94">
        <f t="shared" si="66"/>
        <v>35</v>
      </c>
      <c r="AS65" s="95"/>
      <c r="AT65" s="144" t="s">
        <v>31</v>
      </c>
      <c r="AU65" s="97" t="s">
        <v>337</v>
      </c>
      <c r="AV65" s="98">
        <f t="shared" si="67"/>
        <v>0</v>
      </c>
      <c r="AW65" s="99" t="str">
        <f t="shared" si="68"/>
        <v>N/A</v>
      </c>
      <c r="AX65" s="95"/>
      <c r="AY65" s="100">
        <f t="shared" si="61"/>
        <v>35</v>
      </c>
      <c r="AZ65" s="17"/>
      <c r="BA65" s="144">
        <v>7.2899999999999996E-3</v>
      </c>
      <c r="BB65" s="101">
        <f t="shared" si="59"/>
        <v>10</v>
      </c>
      <c r="BC65" s="98" t="str">
        <f t="shared" si="60"/>
        <v>Très peu mobile</v>
      </c>
      <c r="BD65" s="101">
        <v>6.44</v>
      </c>
      <c r="BE65" s="98" t="str">
        <f t="shared" si="62"/>
        <v>Non mobile</v>
      </c>
      <c r="BF65" s="101">
        <v>360.9</v>
      </c>
      <c r="BG65" s="101">
        <v>1.47E-4</v>
      </c>
      <c r="BH65" s="101">
        <v>7.5</v>
      </c>
      <c r="BI65" s="98" t="str">
        <f t="shared" si="46"/>
        <v>Non volatil</v>
      </c>
      <c r="BJ65" s="102" t="s">
        <v>31</v>
      </c>
      <c r="BK65" s="103" t="s">
        <v>342</v>
      </c>
      <c r="BL65" s="17"/>
      <c r="BM65" s="159" t="str">
        <f t="shared" si="63"/>
        <v>35, N/A (0), Très peu mobile (solubilité), Non mobile (log Koc), Non volatil, N/A,SERVACO</v>
      </c>
      <c r="BN65" s="17"/>
      <c r="BO65" s="17"/>
      <c r="BP65" s="17"/>
      <c r="BQ65" s="17"/>
      <c r="BR65" s="17"/>
      <c r="BS65" s="17"/>
      <c r="BT65" s="30">
        <v>35</v>
      </c>
      <c r="BU65" s="31" t="s">
        <v>31</v>
      </c>
      <c r="BV65" s="31" t="s">
        <v>1077</v>
      </c>
      <c r="BW65" s="31" t="s">
        <v>1080</v>
      </c>
      <c r="BX65" s="31" t="s">
        <v>1081</v>
      </c>
      <c r="BY65" s="31" t="s">
        <v>31</v>
      </c>
      <c r="BZ65" s="32" t="s">
        <v>342</v>
      </c>
      <c r="CA65" s="17"/>
      <c r="CB65" s="105" t="s">
        <v>1262</v>
      </c>
      <c r="CC65" s="106">
        <v>4</v>
      </c>
      <c r="CD65" s="17"/>
      <c r="CE65" s="107">
        <f t="shared" si="53"/>
        <v>52.666666666666664</v>
      </c>
      <c r="CF65" s="108">
        <f t="shared" si="47"/>
        <v>0.66666666666666663</v>
      </c>
      <c r="CG65" s="17"/>
      <c r="CH65" s="110" t="str">
        <f t="shared" si="48"/>
        <v>Catégorie 4</v>
      </c>
      <c r="CI65" s="111" t="str">
        <f t="shared" si="49"/>
        <v/>
      </c>
      <c r="CJ65" s="112" t="str">
        <f t="shared" si="54"/>
        <v/>
      </c>
      <c r="CK65" s="112" t="str">
        <f t="shared" si="55"/>
        <v/>
      </c>
      <c r="CL65" s="113" t="str">
        <f t="shared" si="56"/>
        <v/>
      </c>
      <c r="CM65" s="113" t="str">
        <f t="shared" si="57"/>
        <v>Top 50%</v>
      </c>
      <c r="CN65" s="114" t="str">
        <f t="shared" si="58"/>
        <v>Top 75%</v>
      </c>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row>
    <row r="66" spans="1:121" s="19" customFormat="1" ht="75" customHeight="1" x14ac:dyDescent="0.35">
      <c r="A66" s="4" t="s">
        <v>906</v>
      </c>
      <c r="B66" s="10" t="s">
        <v>837</v>
      </c>
      <c r="C66" s="11" t="s">
        <v>838</v>
      </c>
      <c r="D66" s="11" t="s">
        <v>839</v>
      </c>
      <c r="E66" s="11" t="s">
        <v>840</v>
      </c>
      <c r="F66" s="11" t="s">
        <v>835</v>
      </c>
      <c r="G66" s="11" t="s">
        <v>841</v>
      </c>
      <c r="H66" s="11" t="s">
        <v>812</v>
      </c>
      <c r="I66" s="4"/>
      <c r="J66" s="11" t="s">
        <v>31</v>
      </c>
      <c r="K66" s="11"/>
      <c r="L66" s="11"/>
      <c r="M66" s="11"/>
      <c r="N66" s="11"/>
      <c r="O66" s="11"/>
      <c r="P66" s="11"/>
      <c r="Q66" s="11"/>
      <c r="R66" s="11" t="s">
        <v>31</v>
      </c>
      <c r="S66" s="11"/>
      <c r="T66" s="11" t="s">
        <v>907</v>
      </c>
      <c r="U66" s="11" t="s">
        <v>52</v>
      </c>
      <c r="V66" s="11" t="s">
        <v>914</v>
      </c>
      <c r="W66" s="11" t="s">
        <v>932</v>
      </c>
      <c r="X66" s="12" t="s">
        <v>950</v>
      </c>
      <c r="Y66" s="11">
        <v>7.02</v>
      </c>
      <c r="Z66" s="4"/>
      <c r="AA66" s="11">
        <v>6.34</v>
      </c>
      <c r="AB66" s="12" t="s">
        <v>969</v>
      </c>
      <c r="AC66" s="11" t="s">
        <v>987</v>
      </c>
      <c r="AD66" s="10"/>
      <c r="AE66" s="92" t="str" cm="1">
        <f t="array" ref="AE66">_xlfn.IFS(COUNTIF(Table14623[[#This Row],[PBT/ vPvB]],"*X*"), 20, TRUE, "")</f>
        <v/>
      </c>
      <c r="AF66" s="93" t="str" cm="1">
        <f t="array" ref="AF66">_xlfn.IFS(COUNTIF(Table14623[[#This Row],[Perturbateur Endocrinien]],"*X*"), 20, TRUE, "")</f>
        <v/>
      </c>
      <c r="AG66" s="93" t="str" cm="1">
        <f t="array" ref="AG66">_xlfn.IFS(COUNTIF(Table14623[[#This Row],[Phrases H]],"*H350*"), 20, TRUE, "")</f>
        <v/>
      </c>
      <c r="AH66" s="93" t="str" cm="1">
        <f t="array" ref="AH66">_xlfn.IFS(COUNTIF(Table14623[[#This Row],[Phrases H]],"*H360*"), 20, TRUE, "")</f>
        <v/>
      </c>
      <c r="AI66" s="93" t="str" cm="1">
        <f t="array" ref="AI66">_xlfn.IFS(COUNTIF(Table14623[[#This Row],[Phrases H]],"*H340*"), 20, TRUE, "")</f>
        <v/>
      </c>
      <c r="AJ66" s="93" t="str" cm="1">
        <f t="array" ref="AJ66">_xlfn.IFS(COUNTIF(Table14623[[#This Row],[Phrases H]],"*H351*"), 10, TRUE, "")</f>
        <v/>
      </c>
      <c r="AK66" s="93" t="str" cm="1">
        <f t="array" ref="AK66">_xlfn.IFS(COUNTIF(Table14623[[#This Row],[Phrases H]],"*H361*"), 10, TRUE, "")</f>
        <v/>
      </c>
      <c r="AL66" s="93" t="str" cm="1">
        <f t="array" ref="AL66">_xlfn.IFS(COUNTIF(Table14623[[#This Row],[Phrases H]],"*H362*"), 10, TRUE, "")</f>
        <v/>
      </c>
      <c r="AM66" s="93" t="str" cm="1">
        <f t="array" ref="AM66">_xlfn.IFS(COUNTIF(Table14623[[#This Row],[Phrases H]],"*H341*"), 10, TRUE, "")</f>
        <v/>
      </c>
      <c r="AN66" s="93" t="str" cm="1">
        <f t="array" ref="AN66">_xlfn.IFS(COUNTIF(Table14623[[#This Row],[Phrases H]],"*H372*"), 10, TRUE, "")</f>
        <v/>
      </c>
      <c r="AO66" s="93" cm="1">
        <f t="array" ref="AO66">_xlfn.IFS(COUNTIF(Table14623[[#This Row],[Phrases H]],"*H410*"), 10, TRUE, "")</f>
        <v>10</v>
      </c>
      <c r="AP66" s="93" cm="1">
        <f t="array" ref="AP66">_xlfn.IFS(COUNTIF(Table14623[[#This Row],[Phrases H]],"*H373*"), 5, TRUE, "")</f>
        <v>5</v>
      </c>
      <c r="AQ66" s="93" t="str" cm="1">
        <f t="array" ref="AQ66">_xlfn.IFS(COUNTIF(Table14623[[#This Row],[Phrases H]],"*H411*"), 5, TRUE, "")</f>
        <v/>
      </c>
      <c r="AR66" s="94">
        <f t="shared" si="66"/>
        <v>15</v>
      </c>
      <c r="AS66" s="95"/>
      <c r="AT66" s="144" t="s">
        <v>31</v>
      </c>
      <c r="AU66" s="97" t="s">
        <v>337</v>
      </c>
      <c r="AV66" s="98">
        <f t="shared" si="67"/>
        <v>0</v>
      </c>
      <c r="AW66" s="99" t="str">
        <f t="shared" si="68"/>
        <v>N/A</v>
      </c>
      <c r="AX66" s="95"/>
      <c r="AY66" s="100">
        <f t="shared" si="61"/>
        <v>15</v>
      </c>
      <c r="AZ66" s="17"/>
      <c r="BA66" s="144">
        <v>8.4499999999999992E-3</v>
      </c>
      <c r="BB66" s="101">
        <f t="shared" si="59"/>
        <v>10</v>
      </c>
      <c r="BC66" s="98" t="str">
        <f t="shared" si="60"/>
        <v>Très peu mobile</v>
      </c>
      <c r="BD66" s="101">
        <v>6.34</v>
      </c>
      <c r="BE66" s="98" t="str">
        <f t="shared" si="62"/>
        <v>Non mobile</v>
      </c>
      <c r="BF66" s="101">
        <v>360.9</v>
      </c>
      <c r="BG66" s="101">
        <v>3.6299999999999999E-4</v>
      </c>
      <c r="BH66" s="101">
        <v>13520</v>
      </c>
      <c r="BI66" s="98" t="str">
        <f t="shared" si="46"/>
        <v>Non volatil</v>
      </c>
      <c r="BJ66" s="102" t="s">
        <v>31</v>
      </c>
      <c r="BK66" s="103" t="s">
        <v>342</v>
      </c>
      <c r="BL66" s="17"/>
      <c r="BM66" s="159" t="str">
        <f t="shared" si="63"/>
        <v>15, N/A (0), Très peu mobile (solubilité), Non mobile (log Koc), Non volatil, N/A,SERVACO</v>
      </c>
      <c r="BN66" s="17"/>
      <c r="BO66" s="17"/>
      <c r="BP66" s="17"/>
      <c r="BQ66" s="17"/>
      <c r="BR66" s="17"/>
      <c r="BS66" s="17"/>
      <c r="BT66" s="30">
        <v>15</v>
      </c>
      <c r="BU66" s="31" t="s">
        <v>31</v>
      </c>
      <c r="BV66" s="31" t="s">
        <v>1077</v>
      </c>
      <c r="BW66" s="31" t="s">
        <v>1080</v>
      </c>
      <c r="BX66" s="31" t="s">
        <v>1081</v>
      </c>
      <c r="BY66" s="31" t="s">
        <v>31</v>
      </c>
      <c r="BZ66" s="32" t="s">
        <v>342</v>
      </c>
      <c r="CA66" s="17"/>
      <c r="CB66" s="105" t="s">
        <v>1262</v>
      </c>
      <c r="CC66" s="106">
        <v>4</v>
      </c>
      <c r="CD66" s="17"/>
      <c r="CE66" s="107">
        <f t="shared" si="53"/>
        <v>34</v>
      </c>
      <c r="CF66" s="108">
        <f t="shared" si="47"/>
        <v>0.43037974683544306</v>
      </c>
      <c r="CG66" s="17"/>
      <c r="CH66" s="110" t="str">
        <f t="shared" si="48"/>
        <v>Catégorie 3</v>
      </c>
      <c r="CI66" s="111" t="str">
        <f t="shared" si="49"/>
        <v/>
      </c>
      <c r="CJ66" s="112" t="str">
        <f t="shared" si="54"/>
        <v/>
      </c>
      <c r="CK66" s="112" t="str">
        <f t="shared" si="55"/>
        <v/>
      </c>
      <c r="CL66" s="113" t="str">
        <f t="shared" si="56"/>
        <v/>
      </c>
      <c r="CM66" s="113" t="str">
        <f t="shared" si="57"/>
        <v/>
      </c>
      <c r="CN66" s="114" t="str">
        <f t="shared" si="58"/>
        <v>Top 75%</v>
      </c>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23"/>
    </row>
    <row r="67" spans="1:121" s="19" customFormat="1" ht="80.150000000000006" customHeight="1" x14ac:dyDescent="0.35">
      <c r="A67" s="4" t="s">
        <v>906</v>
      </c>
      <c r="B67" s="10" t="s">
        <v>842</v>
      </c>
      <c r="C67" s="11" t="s">
        <v>843</v>
      </c>
      <c r="D67" s="11" t="s">
        <v>844</v>
      </c>
      <c r="E67" s="11" t="s">
        <v>845</v>
      </c>
      <c r="F67" s="11" t="s">
        <v>846</v>
      </c>
      <c r="G67" s="11" t="s">
        <v>847</v>
      </c>
      <c r="H67" s="11" t="s">
        <v>812</v>
      </c>
      <c r="I67" s="4"/>
      <c r="J67" s="11" t="s">
        <v>31</v>
      </c>
      <c r="K67" s="11" t="s">
        <v>30</v>
      </c>
      <c r="L67" s="11"/>
      <c r="M67" s="11"/>
      <c r="N67" s="11"/>
      <c r="O67" s="11"/>
      <c r="P67" s="11"/>
      <c r="Q67" s="11" t="s">
        <v>30</v>
      </c>
      <c r="R67" s="11" t="s">
        <v>31</v>
      </c>
      <c r="S67" s="11"/>
      <c r="T67" s="11" t="s">
        <v>907</v>
      </c>
      <c r="U67" s="11" t="s">
        <v>52</v>
      </c>
      <c r="V67" s="11" t="s">
        <v>915</v>
      </c>
      <c r="W67" s="11" t="s">
        <v>933</v>
      </c>
      <c r="X67" s="12" t="s">
        <v>951</v>
      </c>
      <c r="Y67" s="11">
        <v>7.1</v>
      </c>
      <c r="Z67" s="4"/>
      <c r="AA67" s="11">
        <v>6.67</v>
      </c>
      <c r="AB67" s="12" t="s">
        <v>970</v>
      </c>
      <c r="AC67" s="11" t="s">
        <v>988</v>
      </c>
      <c r="AD67" s="10"/>
      <c r="AE67" s="92" cm="1">
        <f t="array" ref="AE67">_xlfn.IFS(COUNTIF(Table14623[[#This Row],[PBT/ vPvB]],"*X*"), 20, TRUE, "")</f>
        <v>20</v>
      </c>
      <c r="AF67" s="93" t="str" cm="1">
        <f t="array" ref="AF67">_xlfn.IFS(COUNTIF(Table14623[[#This Row],[Perturbateur Endocrinien]],"*X*"), 20, TRUE, "")</f>
        <v/>
      </c>
      <c r="AG67" s="93" t="str" cm="1">
        <f t="array" ref="AG67">_xlfn.IFS(COUNTIF(Table14623[[#This Row],[Phrases H]],"*H350*"), 20, TRUE, "")</f>
        <v/>
      </c>
      <c r="AH67" s="93" t="str" cm="1">
        <f t="array" ref="AH67">_xlfn.IFS(COUNTIF(Table14623[[#This Row],[Phrases H]],"*H360*"), 20, TRUE, "")</f>
        <v/>
      </c>
      <c r="AI67" s="93" t="str" cm="1">
        <f t="array" ref="AI67">_xlfn.IFS(COUNTIF(Table14623[[#This Row],[Phrases H]],"*H340*"), 20, TRUE, "")</f>
        <v/>
      </c>
      <c r="AJ67" s="93" t="str" cm="1">
        <f t="array" ref="AJ67">_xlfn.IFS(COUNTIF(Table14623[[#This Row],[Phrases H]],"*H351*"), 10, TRUE, "")</f>
        <v/>
      </c>
      <c r="AK67" s="93" t="str" cm="1">
        <f t="array" ref="AK67">_xlfn.IFS(COUNTIF(Table14623[[#This Row],[Phrases H]],"*H361*"), 10, TRUE, "")</f>
        <v/>
      </c>
      <c r="AL67" s="93" t="str" cm="1">
        <f t="array" ref="AL67">_xlfn.IFS(COUNTIF(Table14623[[#This Row],[Phrases H]],"*H362*"), 10, TRUE, "")</f>
        <v/>
      </c>
      <c r="AM67" s="93" t="str" cm="1">
        <f t="array" ref="AM67">_xlfn.IFS(COUNTIF(Table14623[[#This Row],[Phrases H]],"*H341*"), 10, TRUE, "")</f>
        <v/>
      </c>
      <c r="AN67" s="93" t="str" cm="1">
        <f t="array" ref="AN67">_xlfn.IFS(COUNTIF(Table14623[[#This Row],[Phrases H]],"*H372*"), 10, TRUE, "")</f>
        <v/>
      </c>
      <c r="AO67" s="93" cm="1">
        <f t="array" ref="AO67">_xlfn.IFS(COUNTIF(Table14623[[#This Row],[Phrases H]],"*H410*"), 10, TRUE, "")</f>
        <v>10</v>
      </c>
      <c r="AP67" s="93" cm="1">
        <f t="array" ref="AP67">_xlfn.IFS(COUNTIF(Table14623[[#This Row],[Phrases H]],"*H373*"), 5, TRUE, "")</f>
        <v>5</v>
      </c>
      <c r="AQ67" s="93" t="str" cm="1">
        <f t="array" ref="AQ67">_xlfn.IFS(COUNTIF(Table14623[[#This Row],[Phrases H]],"*H411*"), 5, TRUE, "")</f>
        <v/>
      </c>
      <c r="AR67" s="94">
        <f t="shared" si="66"/>
        <v>35</v>
      </c>
      <c r="AS67" s="95"/>
      <c r="AT67" s="144" t="s">
        <v>31</v>
      </c>
      <c r="AU67" s="97" t="s">
        <v>337</v>
      </c>
      <c r="AV67" s="98">
        <f t="shared" si="67"/>
        <v>0</v>
      </c>
      <c r="AW67" s="99" t="str">
        <f t="shared" si="68"/>
        <v>N/A</v>
      </c>
      <c r="AX67" s="95"/>
      <c r="AY67" s="100">
        <f t="shared" si="61"/>
        <v>35</v>
      </c>
      <c r="AZ67" s="17"/>
      <c r="BA67" s="144">
        <v>3.8500000000000001E-3</v>
      </c>
      <c r="BB67" s="101">
        <f t="shared" si="59"/>
        <v>10</v>
      </c>
      <c r="BC67" s="98" t="str">
        <f t="shared" si="60"/>
        <v>Très peu mobile</v>
      </c>
      <c r="BD67" s="101">
        <v>6.67</v>
      </c>
      <c r="BE67" s="98" t="str">
        <f t="shared" si="62"/>
        <v>Non mobile</v>
      </c>
      <c r="BF67" s="101">
        <v>395.3</v>
      </c>
      <c r="BG67" s="101">
        <v>3.1399999999999998E-5</v>
      </c>
      <c r="BH67" s="101">
        <v>2025</v>
      </c>
      <c r="BI67" s="98" t="str">
        <f t="shared" si="46"/>
        <v>Non volatil</v>
      </c>
      <c r="BJ67" s="102" t="s">
        <v>31</v>
      </c>
      <c r="BK67" s="103" t="s">
        <v>343</v>
      </c>
      <c r="BL67" s="17"/>
      <c r="BM67" s="159" t="str">
        <f t="shared" si="63"/>
        <v>35, N/A (0), Très peu mobile (solubilité), Non mobile (log Koc), Non volatil, N/A,EUROFINS, SERVACO</v>
      </c>
      <c r="BN67" s="17"/>
      <c r="BO67" s="17"/>
      <c r="BP67" s="17"/>
      <c r="BQ67" s="17"/>
      <c r="BR67" s="17"/>
      <c r="BS67" s="17"/>
      <c r="BT67" s="30">
        <v>35</v>
      </c>
      <c r="BU67" s="31" t="s">
        <v>31</v>
      </c>
      <c r="BV67" s="31" t="s">
        <v>1077</v>
      </c>
      <c r="BW67" s="31" t="s">
        <v>1080</v>
      </c>
      <c r="BX67" s="31" t="s">
        <v>1081</v>
      </c>
      <c r="BY67" s="31" t="s">
        <v>31</v>
      </c>
      <c r="BZ67" s="32" t="s">
        <v>343</v>
      </c>
      <c r="CA67" s="17"/>
      <c r="CB67" s="105" t="s">
        <v>1262</v>
      </c>
      <c r="CC67" s="106">
        <v>4</v>
      </c>
      <c r="CD67" s="17"/>
      <c r="CE67" s="107">
        <f t="shared" si="53"/>
        <v>52.666666666666664</v>
      </c>
      <c r="CF67" s="108">
        <f t="shared" si="47"/>
        <v>0.66666666666666663</v>
      </c>
      <c r="CG67" s="17"/>
      <c r="CH67" s="110" t="str">
        <f t="shared" si="48"/>
        <v>Catégorie 4</v>
      </c>
      <c r="CI67" s="111" t="str">
        <f t="shared" si="49"/>
        <v/>
      </c>
      <c r="CJ67" s="112" t="str">
        <f t="shared" si="54"/>
        <v/>
      </c>
      <c r="CK67" s="112" t="str">
        <f t="shared" si="55"/>
        <v/>
      </c>
      <c r="CL67" s="113" t="str">
        <f t="shared" si="56"/>
        <v/>
      </c>
      <c r="CM67" s="113" t="str">
        <f t="shared" si="57"/>
        <v>Top 50%</v>
      </c>
      <c r="CN67" s="114" t="str">
        <f t="shared" si="58"/>
        <v>Top 75%</v>
      </c>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row>
    <row r="68" spans="1:121" s="19" customFormat="1" ht="49" customHeight="1" x14ac:dyDescent="0.35">
      <c r="A68" s="4" t="s">
        <v>906</v>
      </c>
      <c r="B68" s="10" t="s">
        <v>848</v>
      </c>
      <c r="C68" s="11" t="s">
        <v>849</v>
      </c>
      <c r="D68" s="11" t="s">
        <v>850</v>
      </c>
      <c r="E68" s="11" t="s">
        <v>851</v>
      </c>
      <c r="F68" s="11" t="s">
        <v>817</v>
      </c>
      <c r="G68" s="11" t="s">
        <v>852</v>
      </c>
      <c r="H68" s="11" t="s">
        <v>830</v>
      </c>
      <c r="I68" s="4"/>
      <c r="J68" s="11" t="s">
        <v>31</v>
      </c>
      <c r="K68" s="11" t="s">
        <v>30</v>
      </c>
      <c r="L68" s="11" t="s">
        <v>30</v>
      </c>
      <c r="M68" s="11"/>
      <c r="N68" s="11"/>
      <c r="O68" s="11"/>
      <c r="P68" s="11"/>
      <c r="Q68" s="11" t="s">
        <v>30</v>
      </c>
      <c r="R68" s="11" t="s">
        <v>31</v>
      </c>
      <c r="S68" s="11"/>
      <c r="T68" s="11" t="s">
        <v>907</v>
      </c>
      <c r="U68" s="11" t="s">
        <v>52</v>
      </c>
      <c r="V68" s="11" t="s">
        <v>916</v>
      </c>
      <c r="W68" s="11" t="s">
        <v>934</v>
      </c>
      <c r="X68" s="11" t="s">
        <v>952</v>
      </c>
      <c r="Y68" s="11">
        <v>6.63</v>
      </c>
      <c r="Z68" s="4"/>
      <c r="AA68" s="21">
        <f>LOG(69800)</f>
        <v>4.8438554226231609</v>
      </c>
      <c r="AB68" s="11" t="s">
        <v>971</v>
      </c>
      <c r="AC68" s="11" t="s">
        <v>989</v>
      </c>
      <c r="AD68" s="10"/>
      <c r="AE68" s="92" cm="1">
        <f t="array" ref="AE68">_xlfn.IFS(COUNTIF(Table14623[[#This Row],[PBT/ vPvB]],"*X*"), 20, TRUE, "")</f>
        <v>20</v>
      </c>
      <c r="AF68" s="93" t="str" cm="1">
        <f t="array" ref="AF68">_xlfn.IFS(COUNTIF(Table14623[[#This Row],[Perturbateur Endocrinien]],"*X*"), 20, TRUE, "")</f>
        <v/>
      </c>
      <c r="AG68" s="93" t="str" cm="1">
        <f t="array" ref="AG68">_xlfn.IFS(COUNTIF(Table14623[[#This Row],[Phrases H]],"*H350*"), 20, TRUE, "")</f>
        <v/>
      </c>
      <c r="AH68" s="93" t="str" cm="1">
        <f t="array" ref="AH68">_xlfn.IFS(COUNTIF(Table14623[[#This Row],[Phrases H]],"*H360*"), 20, TRUE, "")</f>
        <v/>
      </c>
      <c r="AI68" s="93" t="str" cm="1">
        <f t="array" ref="AI68">_xlfn.IFS(COUNTIF(Table14623[[#This Row],[Phrases H]],"*H340*"), 20, TRUE, "")</f>
        <v/>
      </c>
      <c r="AJ68" s="93" t="str" cm="1">
        <f t="array" ref="AJ68">_xlfn.IFS(COUNTIF(Table14623[[#This Row],[Phrases H]],"*H351*"), 10, TRUE, "")</f>
        <v/>
      </c>
      <c r="AK68" s="93" t="str" cm="1">
        <f t="array" ref="AK68">_xlfn.IFS(COUNTIF(Table14623[[#This Row],[Phrases H]],"*H361*"), 10, TRUE, "")</f>
        <v/>
      </c>
      <c r="AL68" s="93" t="str" cm="1">
        <f t="array" ref="AL68">_xlfn.IFS(COUNTIF(Table14623[[#This Row],[Phrases H]],"*H362*"), 10, TRUE, "")</f>
        <v/>
      </c>
      <c r="AM68" s="93" t="str" cm="1">
        <f t="array" ref="AM68">_xlfn.IFS(COUNTIF(Table14623[[#This Row],[Phrases H]],"*H341*"), 10, TRUE, "")</f>
        <v/>
      </c>
      <c r="AN68" s="93" t="str" cm="1">
        <f t="array" ref="AN68">_xlfn.IFS(COUNTIF(Table14623[[#This Row],[Phrases H]],"*H372*"), 10, TRUE, "")</f>
        <v/>
      </c>
      <c r="AO68" s="93" cm="1">
        <f t="array" ref="AO68">_xlfn.IFS(COUNTIF(Table14623[[#This Row],[Phrases H]],"*H410*"), 10, TRUE, "")</f>
        <v>10</v>
      </c>
      <c r="AP68" s="93" cm="1">
        <f t="array" ref="AP68">_xlfn.IFS(COUNTIF(Table14623[[#This Row],[Phrases H]],"*H373*"), 5, TRUE, "")</f>
        <v>5</v>
      </c>
      <c r="AQ68" s="93" t="str" cm="1">
        <f t="array" ref="AQ68">_xlfn.IFS(COUNTIF(Table14623[[#This Row],[Phrases H]],"*H411*"), 5, TRUE, "")</f>
        <v/>
      </c>
      <c r="AR68" s="94">
        <f t="shared" si="66"/>
        <v>35</v>
      </c>
      <c r="AS68" s="95"/>
      <c r="AT68" s="144" t="s">
        <v>31</v>
      </c>
      <c r="AU68" s="97" t="s">
        <v>337</v>
      </c>
      <c r="AV68" s="98">
        <f t="shared" si="67"/>
        <v>0</v>
      </c>
      <c r="AW68" s="99" t="str">
        <f t="shared" si="68"/>
        <v>N/A</v>
      </c>
      <c r="AX68" s="95"/>
      <c r="AY68" s="100">
        <f t="shared" si="61"/>
        <v>35</v>
      </c>
      <c r="AZ68" s="17"/>
      <c r="BA68" s="144">
        <v>0.17499999999999999</v>
      </c>
      <c r="BB68" s="101">
        <f t="shared" si="59"/>
        <v>20</v>
      </c>
      <c r="BC68" s="98" t="str">
        <f t="shared" si="60"/>
        <v>Peu mobile</v>
      </c>
      <c r="BD68" s="101">
        <v>4.8438554226231609</v>
      </c>
      <c r="BE68" s="98" t="str">
        <f t="shared" si="62"/>
        <v>Non mobile</v>
      </c>
      <c r="BF68" s="101">
        <v>292</v>
      </c>
      <c r="BG68" s="101">
        <v>1.4E-3</v>
      </c>
      <c r="BH68" s="101">
        <v>4.37</v>
      </c>
      <c r="BI68" s="98" t="str">
        <f t="shared" si="46"/>
        <v>Non volatil</v>
      </c>
      <c r="BJ68" s="102" t="s">
        <v>31</v>
      </c>
      <c r="BK68" s="103" t="s">
        <v>341</v>
      </c>
      <c r="BL68" s="17"/>
      <c r="BM68" s="159" t="str">
        <f t="shared" si="63"/>
        <v>35, N/A (0), Peu mobile (solubilité), Non mobile (log Koc), Non volatil, N/A,EUROFINS</v>
      </c>
      <c r="BN68" s="17"/>
      <c r="BO68" s="17"/>
      <c r="BP68" s="17"/>
      <c r="BQ68" s="17"/>
      <c r="BR68" s="17"/>
      <c r="BS68" s="17"/>
      <c r="BT68" s="30">
        <v>35</v>
      </c>
      <c r="BU68" s="31" t="s">
        <v>31</v>
      </c>
      <c r="BV68" s="31" t="s">
        <v>1078</v>
      </c>
      <c r="BW68" s="31" t="s">
        <v>1080</v>
      </c>
      <c r="BX68" s="31" t="s">
        <v>1081</v>
      </c>
      <c r="BY68" s="31" t="s">
        <v>31</v>
      </c>
      <c r="BZ68" s="32" t="s">
        <v>341</v>
      </c>
      <c r="CA68" s="17"/>
      <c r="CB68" s="105" t="s">
        <v>1261</v>
      </c>
      <c r="CC68" s="106">
        <v>3</v>
      </c>
      <c r="CD68" s="17"/>
      <c r="CE68" s="107">
        <f t="shared" si="53"/>
        <v>47.666666666666664</v>
      </c>
      <c r="CF68" s="108">
        <f t="shared" si="47"/>
        <v>0.6033755274261603</v>
      </c>
      <c r="CG68" s="17"/>
      <c r="CH68" s="110" t="str">
        <f t="shared" si="48"/>
        <v>Catégorie 4</v>
      </c>
      <c r="CI68" s="111" t="str">
        <f t="shared" si="49"/>
        <v/>
      </c>
      <c r="CJ68" s="112" t="str">
        <f t="shared" si="54"/>
        <v/>
      </c>
      <c r="CK68" s="112" t="str">
        <f t="shared" si="55"/>
        <v/>
      </c>
      <c r="CL68" s="113" t="str">
        <f t="shared" si="56"/>
        <v/>
      </c>
      <c r="CM68" s="113" t="str">
        <f t="shared" si="57"/>
        <v>Top 50%</v>
      </c>
      <c r="CN68" s="114" t="str">
        <f t="shared" si="58"/>
        <v>Top 75%</v>
      </c>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23"/>
    </row>
    <row r="69" spans="1:121" s="19" customFormat="1" ht="49" customHeight="1" x14ac:dyDescent="0.35">
      <c r="A69" s="4" t="s">
        <v>906</v>
      </c>
      <c r="B69" s="10" t="s">
        <v>853</v>
      </c>
      <c r="C69" s="11" t="s">
        <v>854</v>
      </c>
      <c r="D69" s="11" t="s">
        <v>855</v>
      </c>
      <c r="E69" s="11" t="s">
        <v>856</v>
      </c>
      <c r="F69" s="11" t="s">
        <v>857</v>
      </c>
      <c r="G69" s="11" t="s">
        <v>858</v>
      </c>
      <c r="H69" s="11" t="s">
        <v>830</v>
      </c>
      <c r="I69" s="4"/>
      <c r="J69" s="11" t="s">
        <v>31</v>
      </c>
      <c r="K69" s="11"/>
      <c r="L69" s="11" t="s">
        <v>30</v>
      </c>
      <c r="M69" s="11"/>
      <c r="N69" s="11"/>
      <c r="O69" s="11"/>
      <c r="P69" s="11"/>
      <c r="Q69" s="11"/>
      <c r="R69" s="11" t="s">
        <v>31</v>
      </c>
      <c r="S69" s="11"/>
      <c r="T69" s="11" t="s">
        <v>907</v>
      </c>
      <c r="U69" s="11" t="s">
        <v>52</v>
      </c>
      <c r="V69" s="11" t="s">
        <v>917</v>
      </c>
      <c r="W69" s="11" t="s">
        <v>935</v>
      </c>
      <c r="X69" s="11" t="s">
        <v>953</v>
      </c>
      <c r="Y69" s="11">
        <v>6.34</v>
      </c>
      <c r="Z69" s="4"/>
      <c r="AA69" s="11">
        <v>4.8899999999999997</v>
      </c>
      <c r="AB69" s="11" t="s">
        <v>972</v>
      </c>
      <c r="AC69" s="11" t="s">
        <v>990</v>
      </c>
      <c r="AD69" s="10"/>
      <c r="AE69" s="92" t="str" cm="1">
        <f t="array" ref="AE69">_xlfn.IFS(COUNTIF(Table14623[[#This Row],[PBT/ vPvB]],"*X*"), 20, TRUE, "")</f>
        <v/>
      </c>
      <c r="AF69" s="93" t="str" cm="1">
        <f t="array" ref="AF69">_xlfn.IFS(COUNTIF(Table14623[[#This Row],[Perturbateur Endocrinien]],"*X*"), 20, TRUE, "")</f>
        <v/>
      </c>
      <c r="AG69" s="93" t="str" cm="1">
        <f t="array" ref="AG69">_xlfn.IFS(COUNTIF(Table14623[[#This Row],[Phrases H]],"*H350*"), 20, TRUE, "")</f>
        <v/>
      </c>
      <c r="AH69" s="93" t="str" cm="1">
        <f t="array" ref="AH69">_xlfn.IFS(COUNTIF(Table14623[[#This Row],[Phrases H]],"*H360*"), 20, TRUE, "")</f>
        <v/>
      </c>
      <c r="AI69" s="93" t="str" cm="1">
        <f t="array" ref="AI69">_xlfn.IFS(COUNTIF(Table14623[[#This Row],[Phrases H]],"*H340*"), 20, TRUE, "")</f>
        <v/>
      </c>
      <c r="AJ69" s="93" t="str" cm="1">
        <f t="array" ref="AJ69">_xlfn.IFS(COUNTIF(Table14623[[#This Row],[Phrases H]],"*H351*"), 10, TRUE, "")</f>
        <v/>
      </c>
      <c r="AK69" s="93" t="str" cm="1">
        <f t="array" ref="AK69">_xlfn.IFS(COUNTIF(Table14623[[#This Row],[Phrases H]],"*H361*"), 10, TRUE, "")</f>
        <v/>
      </c>
      <c r="AL69" s="93" t="str" cm="1">
        <f t="array" ref="AL69">_xlfn.IFS(COUNTIF(Table14623[[#This Row],[Phrases H]],"*H362*"), 10, TRUE, "")</f>
        <v/>
      </c>
      <c r="AM69" s="93" t="str" cm="1">
        <f t="array" ref="AM69">_xlfn.IFS(COUNTIF(Table14623[[#This Row],[Phrases H]],"*H341*"), 10, TRUE, "")</f>
        <v/>
      </c>
      <c r="AN69" s="93" t="str" cm="1">
        <f t="array" ref="AN69">_xlfn.IFS(COUNTIF(Table14623[[#This Row],[Phrases H]],"*H372*"), 10, TRUE, "")</f>
        <v/>
      </c>
      <c r="AO69" s="93" cm="1">
        <f t="array" ref="AO69">_xlfn.IFS(COUNTIF(Table14623[[#This Row],[Phrases H]],"*H410*"), 10, TRUE, "")</f>
        <v>10</v>
      </c>
      <c r="AP69" s="93" cm="1">
        <f t="array" ref="AP69">_xlfn.IFS(COUNTIF(Table14623[[#This Row],[Phrases H]],"*H373*"), 5, TRUE, "")</f>
        <v>5</v>
      </c>
      <c r="AQ69" s="93" t="str" cm="1">
        <f t="array" ref="AQ69">_xlfn.IFS(COUNTIF(Table14623[[#This Row],[Phrases H]],"*H411*"), 5, TRUE, "")</f>
        <v/>
      </c>
      <c r="AR69" s="94">
        <f t="shared" si="66"/>
        <v>15</v>
      </c>
      <c r="AS69" s="95"/>
      <c r="AT69" s="144" t="s">
        <v>31</v>
      </c>
      <c r="AU69" s="97" t="s">
        <v>337</v>
      </c>
      <c r="AV69" s="98">
        <f t="shared" si="67"/>
        <v>0</v>
      </c>
      <c r="AW69" s="99" t="str">
        <f t="shared" si="68"/>
        <v>N/A</v>
      </c>
      <c r="AX69" s="95"/>
      <c r="AY69" s="100">
        <f t="shared" si="61"/>
        <v>15</v>
      </c>
      <c r="AZ69" s="17"/>
      <c r="BA69" s="144">
        <v>1.4E-3</v>
      </c>
      <c r="BB69" s="101">
        <f t="shared" si="59"/>
        <v>10</v>
      </c>
      <c r="BC69" s="98" t="str">
        <f t="shared" si="60"/>
        <v>Très peu mobile</v>
      </c>
      <c r="BD69" s="101">
        <v>4.8899999999999997</v>
      </c>
      <c r="BE69" s="98" t="str">
        <f t="shared" si="62"/>
        <v>Non mobile</v>
      </c>
      <c r="BF69" s="101">
        <v>292</v>
      </c>
      <c r="BG69" s="101">
        <v>1.65E-3</v>
      </c>
      <c r="BH69" s="101">
        <v>5.2</v>
      </c>
      <c r="BI69" s="98" t="str">
        <f t="shared" si="46"/>
        <v>Non volatil</v>
      </c>
      <c r="BJ69" s="102" t="s">
        <v>31</v>
      </c>
      <c r="BK69" s="103" t="s">
        <v>341</v>
      </c>
      <c r="BL69" s="17"/>
      <c r="BM69" s="159" t="str">
        <f t="shared" si="63"/>
        <v>15, N/A (0), Très peu mobile (solubilité), Non mobile (log Koc), Non volatil, N/A,EUROFINS</v>
      </c>
      <c r="BN69" s="17"/>
      <c r="BO69" s="17"/>
      <c r="BP69" s="17"/>
      <c r="BQ69" s="17"/>
      <c r="BR69" s="17"/>
      <c r="BS69" s="17"/>
      <c r="BT69" s="30">
        <v>15</v>
      </c>
      <c r="BU69" s="31" t="s">
        <v>31</v>
      </c>
      <c r="BV69" s="31" t="s">
        <v>1077</v>
      </c>
      <c r="BW69" s="31" t="s">
        <v>1080</v>
      </c>
      <c r="BX69" s="31" t="s">
        <v>1081</v>
      </c>
      <c r="BY69" s="31" t="s">
        <v>31</v>
      </c>
      <c r="BZ69" s="32" t="s">
        <v>341</v>
      </c>
      <c r="CA69" s="17"/>
      <c r="CB69" s="105" t="s">
        <v>1261</v>
      </c>
      <c r="CC69" s="106">
        <v>3</v>
      </c>
      <c r="CD69" s="17"/>
      <c r="CE69" s="107">
        <f t="shared" ref="CE69:CE99" si="69">(AR69/75)*70+(AV69/25)*15+(CC69/3)*15</f>
        <v>29</v>
      </c>
      <c r="CF69" s="108">
        <f t="shared" si="47"/>
        <v>0.36708860759493672</v>
      </c>
      <c r="CG69" s="17"/>
      <c r="CH69" s="110" t="str">
        <f t="shared" si="48"/>
        <v>Catégorie 2</v>
      </c>
      <c r="CI69" s="111" t="str">
        <f t="shared" si="49"/>
        <v/>
      </c>
      <c r="CJ69" s="112" t="str">
        <f t="shared" ref="CJ69:CJ99" si="70">IF(CE69&gt;=_xlfn.PERCENTILE.EXC($CE$5:$CE$27,0.95),"Top 5%","")</f>
        <v/>
      </c>
      <c r="CK69" s="112" t="str">
        <f t="shared" ref="CK69:CK99" si="71">IF(CE69&gt;=_xlfn.PERCENTILE.EXC($CE$5:$CE$27,0.9),"Top 10%","")</f>
        <v/>
      </c>
      <c r="CL69" s="113" t="str">
        <f t="shared" ref="CL69:CL99" si="72">IF(CE69&gt;=_xlfn.PERCENTILE.EXC($CE$5:$CE$27,0.75),"Top 25%","")</f>
        <v/>
      </c>
      <c r="CM69" s="113" t="str">
        <f t="shared" ref="CM69:CM99" si="73">IF(CE69&gt;=_xlfn.PERCENTILE.EXC($CE$5:$CE$27,0.5),"Top 50%","")</f>
        <v/>
      </c>
      <c r="CN69" s="114" t="str">
        <f t="shared" ref="CN69:CN99" si="74">IF(CE69&gt;=_xlfn.PERCENTILE.EXC($CE$5:$CE$27,0.25),"Top 75%","")</f>
        <v>Top 75%</v>
      </c>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row>
    <row r="70" spans="1:121" s="19" customFormat="1" ht="47.5" customHeight="1" x14ac:dyDescent="0.35">
      <c r="A70" s="4" t="s">
        <v>906</v>
      </c>
      <c r="B70" s="10" t="s">
        <v>859</v>
      </c>
      <c r="C70" s="11" t="s">
        <v>860</v>
      </c>
      <c r="D70" s="11" t="s">
        <v>861</v>
      </c>
      <c r="E70" s="11" t="s">
        <v>862</v>
      </c>
      <c r="F70" s="11" t="s">
        <v>823</v>
      </c>
      <c r="G70" s="11" t="s">
        <v>863</v>
      </c>
      <c r="H70" s="11" t="s">
        <v>830</v>
      </c>
      <c r="I70" s="4"/>
      <c r="J70" s="11" t="s">
        <v>31</v>
      </c>
      <c r="K70" s="11"/>
      <c r="L70" s="11" t="s">
        <v>30</v>
      </c>
      <c r="M70" s="11"/>
      <c r="N70" s="11"/>
      <c r="O70" s="11"/>
      <c r="P70" s="11"/>
      <c r="Q70" s="11"/>
      <c r="R70" s="11" t="s">
        <v>31</v>
      </c>
      <c r="S70" s="11"/>
      <c r="T70" s="11" t="s">
        <v>908</v>
      </c>
      <c r="U70" s="11" t="s">
        <v>52</v>
      </c>
      <c r="V70" s="11" t="s">
        <v>918</v>
      </c>
      <c r="W70" s="11" t="s">
        <v>936</v>
      </c>
      <c r="X70" s="11" t="s">
        <v>954</v>
      </c>
      <c r="Y70" s="11">
        <v>6.88</v>
      </c>
      <c r="Z70" s="4"/>
      <c r="AA70" s="21">
        <f>LOG(148000)</f>
        <v>5.1702617153949575</v>
      </c>
      <c r="AB70" s="11" t="s">
        <v>973</v>
      </c>
      <c r="AC70" s="11" t="s">
        <v>985</v>
      </c>
      <c r="AD70" s="10"/>
      <c r="AE70" s="92" t="str" cm="1">
        <f t="array" ref="AE70">_xlfn.IFS(COUNTIF(Table14623[[#This Row],[PBT/ vPvB]],"*X*"), 20, TRUE, "")</f>
        <v/>
      </c>
      <c r="AF70" s="93" t="str" cm="1">
        <f t="array" ref="AF70">_xlfn.IFS(COUNTIF(Table14623[[#This Row],[Perturbateur Endocrinien]],"*X*"), 20, TRUE, "")</f>
        <v/>
      </c>
      <c r="AG70" s="93" t="str" cm="1">
        <f t="array" ref="AG70">_xlfn.IFS(COUNTIF(Table14623[[#This Row],[Phrases H]],"*H350*"), 20, TRUE, "")</f>
        <v/>
      </c>
      <c r="AH70" s="93" t="str" cm="1">
        <f t="array" ref="AH70">_xlfn.IFS(COUNTIF(Table14623[[#This Row],[Phrases H]],"*H360*"), 20, TRUE, "")</f>
        <v/>
      </c>
      <c r="AI70" s="93" t="str" cm="1">
        <f t="array" ref="AI70">_xlfn.IFS(COUNTIF(Table14623[[#This Row],[Phrases H]],"*H340*"), 20, TRUE, "")</f>
        <v/>
      </c>
      <c r="AJ70" s="93" t="str" cm="1">
        <f t="array" ref="AJ70">_xlfn.IFS(COUNTIF(Table14623[[#This Row],[Phrases H]],"*H351*"), 10, TRUE, "")</f>
        <v/>
      </c>
      <c r="AK70" s="93" t="str" cm="1">
        <f t="array" ref="AK70">_xlfn.IFS(COUNTIF(Table14623[[#This Row],[Phrases H]],"*H361*"), 10, TRUE, "")</f>
        <v/>
      </c>
      <c r="AL70" s="93" t="str" cm="1">
        <f t="array" ref="AL70">_xlfn.IFS(COUNTIF(Table14623[[#This Row],[Phrases H]],"*H362*"), 10, TRUE, "")</f>
        <v/>
      </c>
      <c r="AM70" s="93" t="str" cm="1">
        <f t="array" ref="AM70">_xlfn.IFS(COUNTIF(Table14623[[#This Row],[Phrases H]],"*H341*"), 10, TRUE, "")</f>
        <v/>
      </c>
      <c r="AN70" s="93" t="str" cm="1">
        <f t="array" ref="AN70">_xlfn.IFS(COUNTIF(Table14623[[#This Row],[Phrases H]],"*H372*"), 10, TRUE, "")</f>
        <v/>
      </c>
      <c r="AO70" s="93" cm="1">
        <f t="array" ref="AO70">_xlfn.IFS(COUNTIF(Table14623[[#This Row],[Phrases H]],"*H410*"), 10, TRUE, "")</f>
        <v>10</v>
      </c>
      <c r="AP70" s="93" cm="1">
        <f t="array" ref="AP70">_xlfn.IFS(COUNTIF(Table14623[[#This Row],[Phrases H]],"*H373*"), 5, TRUE, "")</f>
        <v>5</v>
      </c>
      <c r="AQ70" s="93" t="str" cm="1">
        <f t="array" ref="AQ70">_xlfn.IFS(COUNTIF(Table14623[[#This Row],[Phrases H]],"*H411*"), 5, TRUE, "")</f>
        <v/>
      </c>
      <c r="AR70" s="94">
        <f t="shared" si="66"/>
        <v>15</v>
      </c>
      <c r="AS70" s="95"/>
      <c r="AT70" s="144" t="s">
        <v>31</v>
      </c>
      <c r="AU70" s="97" t="s">
        <v>337</v>
      </c>
      <c r="AV70" s="98">
        <f t="shared" si="67"/>
        <v>0</v>
      </c>
      <c r="AW70" s="99" t="str">
        <f t="shared" si="68"/>
        <v>N/A</v>
      </c>
      <c r="AX70" s="95"/>
      <c r="AY70" s="100">
        <f t="shared" si="61"/>
        <v>15</v>
      </c>
      <c r="AZ70" s="17"/>
      <c r="BA70" s="144">
        <v>2.3600000000000001E-3</v>
      </c>
      <c r="BB70" s="101">
        <f t="shared" si="59"/>
        <v>10</v>
      </c>
      <c r="BC70" s="98" t="str">
        <f t="shared" si="60"/>
        <v>Très peu mobile</v>
      </c>
      <c r="BD70" s="101">
        <v>5.1702617153949575</v>
      </c>
      <c r="BE70" s="98" t="str">
        <f t="shared" si="62"/>
        <v>Non mobile</v>
      </c>
      <c r="BF70" s="101">
        <v>326.39999999999998</v>
      </c>
      <c r="BG70" s="101">
        <v>1.24E-3</v>
      </c>
      <c r="BH70" s="101">
        <v>5.68</v>
      </c>
      <c r="BI70" s="98" t="str">
        <f t="shared" si="46"/>
        <v>Non volatil</v>
      </c>
      <c r="BJ70" s="102" t="s">
        <v>31</v>
      </c>
      <c r="BK70" s="103" t="s">
        <v>341</v>
      </c>
      <c r="BL70" s="17"/>
      <c r="BM70" s="159" t="str">
        <f t="shared" si="63"/>
        <v>15, N/A (0), Très peu mobile (solubilité), Non mobile (log Koc), Non volatil, N/A,EUROFINS</v>
      </c>
      <c r="BN70" s="17"/>
      <c r="BO70" s="17"/>
      <c r="BP70" s="17"/>
      <c r="BQ70" s="17"/>
      <c r="BR70" s="17"/>
      <c r="BS70" s="17"/>
      <c r="BT70" s="30">
        <v>15</v>
      </c>
      <c r="BU70" s="31" t="s">
        <v>31</v>
      </c>
      <c r="BV70" s="31" t="s">
        <v>1077</v>
      </c>
      <c r="BW70" s="31" t="s">
        <v>1080</v>
      </c>
      <c r="BX70" s="31" t="s">
        <v>1081</v>
      </c>
      <c r="BY70" s="31" t="s">
        <v>31</v>
      </c>
      <c r="BZ70" s="32" t="s">
        <v>341</v>
      </c>
      <c r="CA70" s="17"/>
      <c r="CB70" s="105" t="s">
        <v>1261</v>
      </c>
      <c r="CC70" s="106">
        <v>3</v>
      </c>
      <c r="CD70" s="17"/>
      <c r="CE70" s="107">
        <f t="shared" si="69"/>
        <v>29</v>
      </c>
      <c r="CF70" s="108">
        <f t="shared" si="47"/>
        <v>0.36708860759493672</v>
      </c>
      <c r="CG70" s="17"/>
      <c r="CH70" s="110" t="str">
        <f t="shared" si="48"/>
        <v>Catégorie 2</v>
      </c>
      <c r="CI70" s="111" t="str">
        <f t="shared" si="49"/>
        <v/>
      </c>
      <c r="CJ70" s="112" t="str">
        <f t="shared" si="70"/>
        <v/>
      </c>
      <c r="CK70" s="112" t="str">
        <f t="shared" si="71"/>
        <v/>
      </c>
      <c r="CL70" s="113" t="str">
        <f t="shared" si="72"/>
        <v/>
      </c>
      <c r="CM70" s="113" t="str">
        <f t="shared" si="73"/>
        <v/>
      </c>
      <c r="CN70" s="114" t="str">
        <f t="shared" si="74"/>
        <v>Top 75%</v>
      </c>
      <c r="CO70" s="17"/>
      <c r="CP70" s="17"/>
      <c r="CQ70" s="17"/>
      <c r="CR70" s="17"/>
      <c r="CS70" s="17"/>
      <c r="CT70" s="17"/>
      <c r="CU70" s="17"/>
      <c r="CV70" s="17"/>
      <c r="CW70" s="17"/>
      <c r="CX70" s="17"/>
      <c r="CY70" s="17"/>
      <c r="CZ70" s="17"/>
      <c r="DA70" s="17"/>
      <c r="DB70" s="17"/>
      <c r="DC70" s="17"/>
      <c r="DD70" s="17"/>
      <c r="DE70" s="17"/>
      <c r="DF70" s="17"/>
      <c r="DG70" s="17"/>
      <c r="DH70" s="17"/>
      <c r="DI70" s="17"/>
      <c r="DJ70" s="17"/>
      <c r="DK70" s="17"/>
      <c r="DL70" s="17"/>
      <c r="DM70" s="17"/>
      <c r="DN70" s="17"/>
      <c r="DO70" s="17"/>
      <c r="DP70" s="17"/>
      <c r="DQ70" s="23"/>
    </row>
    <row r="71" spans="1:121" s="19" customFormat="1" ht="49" customHeight="1" x14ac:dyDescent="0.35">
      <c r="A71" s="4" t="s">
        <v>906</v>
      </c>
      <c r="B71" s="10" t="s">
        <v>864</v>
      </c>
      <c r="C71" s="11" t="s">
        <v>865</v>
      </c>
      <c r="D71" s="11" t="s">
        <v>866</v>
      </c>
      <c r="E71" s="11" t="s">
        <v>867</v>
      </c>
      <c r="F71" s="11" t="s">
        <v>823</v>
      </c>
      <c r="G71" s="11" t="s">
        <v>868</v>
      </c>
      <c r="H71" s="11" t="s">
        <v>830</v>
      </c>
      <c r="I71" s="4"/>
      <c r="J71" s="11" t="s">
        <v>31</v>
      </c>
      <c r="K71" s="11"/>
      <c r="L71" s="11" t="s">
        <v>30</v>
      </c>
      <c r="M71" s="11"/>
      <c r="N71" s="11"/>
      <c r="O71" s="11"/>
      <c r="P71" s="11"/>
      <c r="Q71" s="11"/>
      <c r="R71" s="11" t="s">
        <v>31</v>
      </c>
      <c r="S71" s="11"/>
      <c r="T71" s="11" t="s">
        <v>907</v>
      </c>
      <c r="U71" s="11" t="s">
        <v>52</v>
      </c>
      <c r="V71" s="11" t="s">
        <v>919</v>
      </c>
      <c r="W71" s="11" t="s">
        <v>937</v>
      </c>
      <c r="X71" s="24" t="s">
        <v>955</v>
      </c>
      <c r="Y71" s="11" t="s">
        <v>963</v>
      </c>
      <c r="Z71" s="4"/>
      <c r="AA71" s="11">
        <v>5.12</v>
      </c>
      <c r="AB71" s="11" t="s">
        <v>974</v>
      </c>
      <c r="AC71" s="11" t="s">
        <v>985</v>
      </c>
      <c r="AD71" s="10"/>
      <c r="AE71" s="92" t="str" cm="1">
        <f t="array" ref="AE71">_xlfn.IFS(COUNTIF(Table14623[[#This Row],[PBT/ vPvB]],"*X*"), 20, TRUE, "")</f>
        <v/>
      </c>
      <c r="AF71" s="93" t="str" cm="1">
        <f t="array" ref="AF71">_xlfn.IFS(COUNTIF(Table14623[[#This Row],[Perturbateur Endocrinien]],"*X*"), 20, TRUE, "")</f>
        <v/>
      </c>
      <c r="AG71" s="93" t="str" cm="1">
        <f t="array" ref="AG71">_xlfn.IFS(COUNTIF(Table14623[[#This Row],[Phrases H]],"*H350*"), 20, TRUE, "")</f>
        <v/>
      </c>
      <c r="AH71" s="93" t="str" cm="1">
        <f t="array" ref="AH71">_xlfn.IFS(COUNTIF(Table14623[[#This Row],[Phrases H]],"*H360*"), 20, TRUE, "")</f>
        <v/>
      </c>
      <c r="AI71" s="93" t="str" cm="1">
        <f t="array" ref="AI71">_xlfn.IFS(COUNTIF(Table14623[[#This Row],[Phrases H]],"*H340*"), 20, TRUE, "")</f>
        <v/>
      </c>
      <c r="AJ71" s="93" t="str" cm="1">
        <f t="array" ref="AJ71">_xlfn.IFS(COUNTIF(Table14623[[#This Row],[Phrases H]],"*H351*"), 10, TRUE, "")</f>
        <v/>
      </c>
      <c r="AK71" s="93" t="str" cm="1">
        <f t="array" ref="AK71">_xlfn.IFS(COUNTIF(Table14623[[#This Row],[Phrases H]],"*H361*"), 10, TRUE, "")</f>
        <v/>
      </c>
      <c r="AL71" s="93" t="str" cm="1">
        <f t="array" ref="AL71">_xlfn.IFS(COUNTIF(Table14623[[#This Row],[Phrases H]],"*H362*"), 10, TRUE, "")</f>
        <v/>
      </c>
      <c r="AM71" s="93" t="str" cm="1">
        <f t="array" ref="AM71">_xlfn.IFS(COUNTIF(Table14623[[#This Row],[Phrases H]],"*H341*"), 10, TRUE, "")</f>
        <v/>
      </c>
      <c r="AN71" s="93" t="str" cm="1">
        <f t="array" ref="AN71">_xlfn.IFS(COUNTIF(Table14623[[#This Row],[Phrases H]],"*H372*"), 10, TRUE, "")</f>
        <v/>
      </c>
      <c r="AO71" s="93" cm="1">
        <f t="array" ref="AO71">_xlfn.IFS(COUNTIF(Table14623[[#This Row],[Phrases H]],"*H410*"), 10, TRUE, "")</f>
        <v>10</v>
      </c>
      <c r="AP71" s="93" cm="1">
        <f t="array" ref="AP71">_xlfn.IFS(COUNTIF(Table14623[[#This Row],[Phrases H]],"*H373*"), 5, TRUE, "")</f>
        <v>5</v>
      </c>
      <c r="AQ71" s="93" t="str" cm="1">
        <f t="array" ref="AQ71">_xlfn.IFS(COUNTIF(Table14623[[#This Row],[Phrases H]],"*H411*"), 5, TRUE, "")</f>
        <v/>
      </c>
      <c r="AR71" s="94">
        <f t="shared" si="66"/>
        <v>15</v>
      </c>
      <c r="AS71" s="95"/>
      <c r="AT71" s="144" t="s">
        <v>31</v>
      </c>
      <c r="AU71" s="97" t="s">
        <v>337</v>
      </c>
      <c r="AV71" s="98">
        <f t="shared" si="67"/>
        <v>0</v>
      </c>
      <c r="AW71" s="99" t="str">
        <f t="shared" si="68"/>
        <v>N/A</v>
      </c>
      <c r="AX71" s="95"/>
      <c r="AY71" s="100">
        <f t="shared" si="61"/>
        <v>15</v>
      </c>
      <c r="AZ71" s="17"/>
      <c r="BA71" s="144">
        <v>7.3200000000000001E-4</v>
      </c>
      <c r="BB71" s="101">
        <f t="shared" si="59"/>
        <v>10</v>
      </c>
      <c r="BC71" s="98" t="str">
        <f t="shared" si="60"/>
        <v>Très peu mobile</v>
      </c>
      <c r="BD71" s="101">
        <v>5.12</v>
      </c>
      <c r="BE71" s="98" t="str">
        <f t="shared" si="62"/>
        <v>Non mobile</v>
      </c>
      <c r="BF71" s="101">
        <v>326.39999999999998</v>
      </c>
      <c r="BG71" s="101">
        <v>1.3600000000000001E-3</v>
      </c>
      <c r="BH71" s="101">
        <v>42.56</v>
      </c>
      <c r="BI71" s="98" t="str">
        <f t="shared" si="46"/>
        <v>Non volatil</v>
      </c>
      <c r="BJ71" s="102" t="s">
        <v>31</v>
      </c>
      <c r="BK71" s="103" t="s">
        <v>343</v>
      </c>
      <c r="BL71" s="17"/>
      <c r="BM71" s="159" t="str">
        <f t="shared" si="63"/>
        <v>15, N/A (0), Très peu mobile (solubilité), Non mobile (log Koc), Non volatil, N/A,EUROFINS, SERVACO</v>
      </c>
      <c r="BN71" s="17"/>
      <c r="BO71" s="17"/>
      <c r="BP71" s="17"/>
      <c r="BQ71" s="17"/>
      <c r="BR71" s="17"/>
      <c r="BS71" s="17"/>
      <c r="BT71" s="30">
        <v>15</v>
      </c>
      <c r="BU71" s="31" t="s">
        <v>31</v>
      </c>
      <c r="BV71" s="31" t="s">
        <v>1077</v>
      </c>
      <c r="BW71" s="31" t="s">
        <v>1080</v>
      </c>
      <c r="BX71" s="31" t="s">
        <v>1081</v>
      </c>
      <c r="BY71" s="31" t="s">
        <v>31</v>
      </c>
      <c r="BZ71" s="32" t="s">
        <v>343</v>
      </c>
      <c r="CA71" s="17"/>
      <c r="CB71" s="105" t="s">
        <v>1261</v>
      </c>
      <c r="CC71" s="106">
        <v>3</v>
      </c>
      <c r="CD71" s="17"/>
      <c r="CE71" s="107">
        <f t="shared" si="69"/>
        <v>29</v>
      </c>
      <c r="CF71" s="108">
        <f t="shared" si="47"/>
        <v>0.36708860759493672</v>
      </c>
      <c r="CG71" s="17"/>
      <c r="CH71" s="110" t="str">
        <f t="shared" si="48"/>
        <v>Catégorie 2</v>
      </c>
      <c r="CI71" s="111" t="str">
        <f t="shared" si="49"/>
        <v/>
      </c>
      <c r="CJ71" s="112" t="str">
        <f t="shared" si="70"/>
        <v/>
      </c>
      <c r="CK71" s="112" t="str">
        <f t="shared" si="71"/>
        <v/>
      </c>
      <c r="CL71" s="113" t="str">
        <f t="shared" si="72"/>
        <v/>
      </c>
      <c r="CM71" s="113" t="str">
        <f t="shared" si="73"/>
        <v/>
      </c>
      <c r="CN71" s="114" t="str">
        <f t="shared" si="74"/>
        <v>Top 75%</v>
      </c>
      <c r="CO71" s="17"/>
      <c r="CP71" s="17"/>
      <c r="CQ71" s="17"/>
      <c r="CR71" s="17"/>
      <c r="CS71" s="17"/>
      <c r="CT71" s="17"/>
      <c r="CU71" s="17"/>
      <c r="CV71" s="17"/>
      <c r="CW71" s="17"/>
      <c r="CX71" s="17"/>
      <c r="CY71" s="17"/>
      <c r="CZ71" s="17"/>
      <c r="DA71" s="17"/>
      <c r="DB71" s="17"/>
      <c r="DC71" s="17"/>
      <c r="DD71" s="17"/>
      <c r="DE71" s="17"/>
      <c r="DF71" s="17"/>
      <c r="DG71" s="17"/>
      <c r="DH71" s="17"/>
      <c r="DI71" s="17"/>
      <c r="DJ71" s="17"/>
      <c r="DK71" s="17"/>
      <c r="DL71" s="17"/>
      <c r="DM71" s="17"/>
      <c r="DN71" s="17"/>
      <c r="DO71" s="17"/>
      <c r="DP71" s="17"/>
    </row>
    <row r="72" spans="1:121" s="19" customFormat="1" ht="45" customHeight="1" x14ac:dyDescent="0.35">
      <c r="A72" s="4" t="s">
        <v>906</v>
      </c>
      <c r="B72" s="10" t="s">
        <v>869</v>
      </c>
      <c r="C72" s="11" t="s">
        <v>870</v>
      </c>
      <c r="D72" s="11" t="s">
        <v>871</v>
      </c>
      <c r="E72" s="11" t="s">
        <v>872</v>
      </c>
      <c r="F72" s="11" t="s">
        <v>873</v>
      </c>
      <c r="G72" s="11" t="s">
        <v>874</v>
      </c>
      <c r="H72" s="11" t="s">
        <v>830</v>
      </c>
      <c r="I72" s="4"/>
      <c r="J72" s="11" t="s">
        <v>31</v>
      </c>
      <c r="K72" s="11"/>
      <c r="L72" s="11" t="s">
        <v>30</v>
      </c>
      <c r="M72" s="11"/>
      <c r="N72" s="11"/>
      <c r="O72" s="11"/>
      <c r="P72" s="11"/>
      <c r="Q72" s="11"/>
      <c r="R72" s="11" t="s">
        <v>31</v>
      </c>
      <c r="S72" s="11"/>
      <c r="T72" s="11" t="s">
        <v>907</v>
      </c>
      <c r="U72" s="11" t="s">
        <v>52</v>
      </c>
      <c r="V72" s="11" t="s">
        <v>920</v>
      </c>
      <c r="W72" s="11" t="s">
        <v>938</v>
      </c>
      <c r="X72" s="24" t="s">
        <v>956</v>
      </c>
      <c r="Y72" s="11">
        <v>6.63</v>
      </c>
      <c r="Z72" s="4"/>
      <c r="AA72" s="11">
        <v>5.12</v>
      </c>
      <c r="AB72" s="11" t="s">
        <v>975</v>
      </c>
      <c r="AC72" s="11" t="s">
        <v>991</v>
      </c>
      <c r="AD72" s="10"/>
      <c r="AE72" s="92" t="str" cm="1">
        <f t="array" ref="AE72">_xlfn.IFS(COUNTIF(Table14623[[#This Row],[PBT/ vPvB]],"*X*"), 20, TRUE, "")</f>
        <v/>
      </c>
      <c r="AF72" s="93" t="str" cm="1">
        <f t="array" ref="AF72">_xlfn.IFS(COUNTIF(Table14623[[#This Row],[Perturbateur Endocrinien]],"*X*"), 20, TRUE, "")</f>
        <v/>
      </c>
      <c r="AG72" s="93" t="str" cm="1">
        <f t="array" ref="AG72">_xlfn.IFS(COUNTIF(Table14623[[#This Row],[Phrases H]],"*H350*"), 20, TRUE, "")</f>
        <v/>
      </c>
      <c r="AH72" s="93" t="str" cm="1">
        <f t="array" ref="AH72">_xlfn.IFS(COUNTIF(Table14623[[#This Row],[Phrases H]],"*H360*"), 20, TRUE, "")</f>
        <v/>
      </c>
      <c r="AI72" s="93" t="str" cm="1">
        <f t="array" ref="AI72">_xlfn.IFS(COUNTIF(Table14623[[#This Row],[Phrases H]],"*H340*"), 20, TRUE, "")</f>
        <v/>
      </c>
      <c r="AJ72" s="93" t="str" cm="1">
        <f t="array" ref="AJ72">_xlfn.IFS(COUNTIF(Table14623[[#This Row],[Phrases H]],"*H351*"), 10, TRUE, "")</f>
        <v/>
      </c>
      <c r="AK72" s="93" t="str" cm="1">
        <f t="array" ref="AK72">_xlfn.IFS(COUNTIF(Table14623[[#This Row],[Phrases H]],"*H361*"), 10, TRUE, "")</f>
        <v/>
      </c>
      <c r="AL72" s="93" t="str" cm="1">
        <f t="array" ref="AL72">_xlfn.IFS(COUNTIF(Table14623[[#This Row],[Phrases H]],"*H362*"), 10, TRUE, "")</f>
        <v/>
      </c>
      <c r="AM72" s="93" t="str" cm="1">
        <f t="array" ref="AM72">_xlfn.IFS(COUNTIF(Table14623[[#This Row],[Phrases H]],"*H341*"), 10, TRUE, "")</f>
        <v/>
      </c>
      <c r="AN72" s="93" t="str" cm="1">
        <f t="array" ref="AN72">_xlfn.IFS(COUNTIF(Table14623[[#This Row],[Phrases H]],"*H372*"), 10, TRUE, "")</f>
        <v/>
      </c>
      <c r="AO72" s="93" cm="1">
        <f t="array" ref="AO72">_xlfn.IFS(COUNTIF(Table14623[[#This Row],[Phrases H]],"*H410*"), 10, TRUE, "")</f>
        <v>10</v>
      </c>
      <c r="AP72" s="93" cm="1">
        <f t="array" ref="AP72">_xlfn.IFS(COUNTIF(Table14623[[#This Row],[Phrases H]],"*H373*"), 5, TRUE, "")</f>
        <v>5</v>
      </c>
      <c r="AQ72" s="93" t="str" cm="1">
        <f t="array" ref="AQ72">_xlfn.IFS(COUNTIF(Table14623[[#This Row],[Phrases H]],"*H411*"), 5, TRUE, "")</f>
        <v/>
      </c>
      <c r="AR72" s="94">
        <f t="shared" si="66"/>
        <v>15</v>
      </c>
      <c r="AS72" s="95"/>
      <c r="AT72" s="144" t="s">
        <v>31</v>
      </c>
      <c r="AU72" s="97" t="s">
        <v>337</v>
      </c>
      <c r="AV72" s="98">
        <f t="shared" si="67"/>
        <v>0</v>
      </c>
      <c r="AW72" s="99" t="str">
        <f t="shared" si="68"/>
        <v>N/A</v>
      </c>
      <c r="AX72" s="95"/>
      <c r="AY72" s="100">
        <f t="shared" si="61"/>
        <v>15</v>
      </c>
      <c r="AZ72" s="17"/>
      <c r="BA72" s="144">
        <v>2.99E-4</v>
      </c>
      <c r="BB72" s="101">
        <f t="shared" si="59"/>
        <v>10</v>
      </c>
      <c r="BC72" s="98" t="str">
        <f t="shared" si="60"/>
        <v>Très peu mobile</v>
      </c>
      <c r="BD72" s="101">
        <v>5.12</v>
      </c>
      <c r="BE72" s="98" t="str">
        <f t="shared" si="62"/>
        <v>Non mobile</v>
      </c>
      <c r="BF72" s="101">
        <v>326.39999999999998</v>
      </c>
      <c r="BG72" s="101">
        <v>1.2999999999999999E-3</v>
      </c>
      <c r="BH72" s="101">
        <v>8.8049999999999997</v>
      </c>
      <c r="BI72" s="98" t="str">
        <f t="shared" si="46"/>
        <v>Non volatil</v>
      </c>
      <c r="BJ72" s="102" t="s">
        <v>31</v>
      </c>
      <c r="BK72" s="103" t="s">
        <v>341</v>
      </c>
      <c r="BL72" s="17"/>
      <c r="BM72" s="159" t="str">
        <f t="shared" si="63"/>
        <v>15, N/A (0), Très peu mobile (solubilité), Non mobile (log Koc), Non volatil, N/A,EUROFINS</v>
      </c>
      <c r="BN72" s="17"/>
      <c r="BO72" s="17"/>
      <c r="BP72" s="17"/>
      <c r="BQ72" s="17"/>
      <c r="BR72" s="17"/>
      <c r="BS72" s="17"/>
      <c r="BT72" s="30">
        <v>15</v>
      </c>
      <c r="BU72" s="31" t="s">
        <v>31</v>
      </c>
      <c r="BV72" s="31" t="s">
        <v>1077</v>
      </c>
      <c r="BW72" s="31" t="s">
        <v>1080</v>
      </c>
      <c r="BX72" s="31" t="s">
        <v>1081</v>
      </c>
      <c r="BY72" s="31" t="s">
        <v>31</v>
      </c>
      <c r="BZ72" s="32" t="s">
        <v>341</v>
      </c>
      <c r="CA72" s="17"/>
      <c r="CB72" s="105" t="s">
        <v>1261</v>
      </c>
      <c r="CC72" s="106">
        <v>3</v>
      </c>
      <c r="CD72" s="17"/>
      <c r="CE72" s="107">
        <f t="shared" si="69"/>
        <v>29</v>
      </c>
      <c r="CF72" s="108">
        <f t="shared" si="47"/>
        <v>0.36708860759493672</v>
      </c>
      <c r="CG72" s="17"/>
      <c r="CH72" s="110" t="str">
        <f t="shared" si="48"/>
        <v>Catégorie 2</v>
      </c>
      <c r="CI72" s="111" t="str">
        <f t="shared" si="49"/>
        <v/>
      </c>
      <c r="CJ72" s="112" t="str">
        <f t="shared" si="70"/>
        <v/>
      </c>
      <c r="CK72" s="112" t="str">
        <f t="shared" si="71"/>
        <v/>
      </c>
      <c r="CL72" s="113" t="str">
        <f t="shared" si="72"/>
        <v/>
      </c>
      <c r="CM72" s="113" t="str">
        <f t="shared" si="73"/>
        <v/>
      </c>
      <c r="CN72" s="114" t="str">
        <f t="shared" si="74"/>
        <v>Top 75%</v>
      </c>
      <c r="CO72" s="17"/>
      <c r="CP72" s="17"/>
      <c r="CQ72" s="17"/>
      <c r="CR72" s="17"/>
      <c r="CS72" s="17"/>
      <c r="CT72" s="17"/>
      <c r="CU72" s="17"/>
      <c r="CV72" s="17"/>
      <c r="CW72" s="17"/>
      <c r="CX72" s="17"/>
      <c r="CY72" s="17"/>
      <c r="CZ72" s="17"/>
      <c r="DA72" s="17"/>
      <c r="DB72" s="17"/>
      <c r="DC72" s="17"/>
      <c r="DD72" s="17"/>
      <c r="DE72" s="17"/>
      <c r="DF72" s="17"/>
      <c r="DG72" s="17"/>
      <c r="DH72" s="17"/>
      <c r="DI72" s="17"/>
      <c r="DJ72" s="17"/>
      <c r="DK72" s="17"/>
      <c r="DL72" s="17"/>
      <c r="DM72" s="17"/>
      <c r="DN72" s="17"/>
      <c r="DO72" s="17"/>
      <c r="DP72" s="17"/>
      <c r="DQ72" s="23"/>
    </row>
    <row r="73" spans="1:121" s="19" customFormat="1" ht="45" customHeight="1" x14ac:dyDescent="0.35">
      <c r="A73" s="4" t="s">
        <v>906</v>
      </c>
      <c r="B73" s="10" t="s">
        <v>875</v>
      </c>
      <c r="C73" s="11" t="s">
        <v>876</v>
      </c>
      <c r="D73" s="11" t="s">
        <v>877</v>
      </c>
      <c r="E73" s="11" t="s">
        <v>878</v>
      </c>
      <c r="F73" s="11" t="s">
        <v>873</v>
      </c>
      <c r="G73" s="11" t="s">
        <v>879</v>
      </c>
      <c r="H73" s="11" t="s">
        <v>830</v>
      </c>
      <c r="I73" s="4"/>
      <c r="J73" s="11" t="s">
        <v>31</v>
      </c>
      <c r="K73" s="11"/>
      <c r="L73" s="11" t="s">
        <v>30</v>
      </c>
      <c r="M73" s="11"/>
      <c r="N73" s="11"/>
      <c r="O73" s="11"/>
      <c r="P73" s="11"/>
      <c r="Q73" s="11"/>
      <c r="R73" s="11" t="s">
        <v>31</v>
      </c>
      <c r="S73" s="11"/>
      <c r="T73" s="11" t="s">
        <v>907</v>
      </c>
      <c r="U73" s="11" t="s">
        <v>52</v>
      </c>
      <c r="V73" s="11" t="s">
        <v>921</v>
      </c>
      <c r="W73" s="11" t="s">
        <v>939</v>
      </c>
      <c r="X73" s="11" t="s">
        <v>957</v>
      </c>
      <c r="Y73" s="11">
        <v>7.21</v>
      </c>
      <c r="Z73" s="4"/>
      <c r="AA73" s="21">
        <f>LOG(157000)</f>
        <v>5.195899652409234</v>
      </c>
      <c r="AB73" s="11" t="s">
        <v>976</v>
      </c>
      <c r="AC73" s="11" t="s">
        <v>991</v>
      </c>
      <c r="AD73" s="10"/>
      <c r="AE73" s="92" t="str" cm="1">
        <f t="array" ref="AE73">_xlfn.IFS(COUNTIF(Table14623[[#This Row],[PBT/ vPvB]],"*X*"), 20, TRUE, "")</f>
        <v/>
      </c>
      <c r="AF73" s="93" t="str" cm="1">
        <f t="array" ref="AF73">_xlfn.IFS(COUNTIF(Table14623[[#This Row],[Perturbateur Endocrinien]],"*X*"), 20, TRUE, "")</f>
        <v/>
      </c>
      <c r="AG73" s="93" t="str" cm="1">
        <f t="array" ref="AG73">_xlfn.IFS(COUNTIF(Table14623[[#This Row],[Phrases H]],"*H350*"), 20, TRUE, "")</f>
        <v/>
      </c>
      <c r="AH73" s="93" t="str" cm="1">
        <f t="array" ref="AH73">_xlfn.IFS(COUNTIF(Table14623[[#This Row],[Phrases H]],"*H360*"), 20, TRUE, "")</f>
        <v/>
      </c>
      <c r="AI73" s="93" t="str" cm="1">
        <f t="array" ref="AI73">_xlfn.IFS(COUNTIF(Table14623[[#This Row],[Phrases H]],"*H340*"), 20, TRUE, "")</f>
        <v/>
      </c>
      <c r="AJ73" s="93" t="str" cm="1">
        <f t="array" ref="AJ73">_xlfn.IFS(COUNTIF(Table14623[[#This Row],[Phrases H]],"*H351*"), 10, TRUE, "")</f>
        <v/>
      </c>
      <c r="AK73" s="93" t="str" cm="1">
        <f t="array" ref="AK73">_xlfn.IFS(COUNTIF(Table14623[[#This Row],[Phrases H]],"*H361*"), 10, TRUE, "")</f>
        <v/>
      </c>
      <c r="AL73" s="93" t="str" cm="1">
        <f t="array" ref="AL73">_xlfn.IFS(COUNTIF(Table14623[[#This Row],[Phrases H]],"*H362*"), 10, TRUE, "")</f>
        <v/>
      </c>
      <c r="AM73" s="93" t="str" cm="1">
        <f t="array" ref="AM73">_xlfn.IFS(COUNTIF(Table14623[[#This Row],[Phrases H]],"*H341*"), 10, TRUE, "")</f>
        <v/>
      </c>
      <c r="AN73" s="93" t="str" cm="1">
        <f t="array" ref="AN73">_xlfn.IFS(COUNTIF(Table14623[[#This Row],[Phrases H]],"*H372*"), 10, TRUE, "")</f>
        <v/>
      </c>
      <c r="AO73" s="93" cm="1">
        <f t="array" ref="AO73">_xlfn.IFS(COUNTIF(Table14623[[#This Row],[Phrases H]],"*H410*"), 10, TRUE, "")</f>
        <v>10</v>
      </c>
      <c r="AP73" s="93" cm="1">
        <f t="array" ref="AP73">_xlfn.IFS(COUNTIF(Table14623[[#This Row],[Phrases H]],"*H373*"), 5, TRUE, "")</f>
        <v>5</v>
      </c>
      <c r="AQ73" s="93" t="str" cm="1">
        <f t="array" ref="AQ73">_xlfn.IFS(COUNTIF(Table14623[[#This Row],[Phrases H]],"*H411*"), 5, TRUE, "")</f>
        <v/>
      </c>
      <c r="AR73" s="94">
        <f t="shared" si="66"/>
        <v>15</v>
      </c>
      <c r="AS73" s="95"/>
      <c r="AT73" s="144" t="s">
        <v>31</v>
      </c>
      <c r="AU73" s="97" t="s">
        <v>337</v>
      </c>
      <c r="AV73" s="98">
        <f t="shared" si="67"/>
        <v>0</v>
      </c>
      <c r="AW73" s="99" t="str">
        <f t="shared" si="68"/>
        <v>N/A</v>
      </c>
      <c r="AX73" s="95"/>
      <c r="AY73" s="100">
        <f t="shared" si="61"/>
        <v>15</v>
      </c>
      <c r="AZ73" s="17"/>
      <c r="BA73" s="144">
        <v>3.0499999999999999E-4</v>
      </c>
      <c r="BB73" s="101">
        <f t="shared" si="59"/>
        <v>10</v>
      </c>
      <c r="BC73" s="98" t="str">
        <f t="shared" si="60"/>
        <v>Très peu mobile</v>
      </c>
      <c r="BD73" s="101">
        <v>5.195899652409234</v>
      </c>
      <c r="BE73" s="98" t="str">
        <f t="shared" si="62"/>
        <v>Non mobile</v>
      </c>
      <c r="BF73" s="101">
        <v>326.39999999999998</v>
      </c>
      <c r="BG73" s="101">
        <v>3.0499999999999999E-4</v>
      </c>
      <c r="BH73" s="101">
        <v>2.7759999999999998</v>
      </c>
      <c r="BI73" s="98" t="str">
        <f t="shared" si="46"/>
        <v>Non volatil</v>
      </c>
      <c r="BJ73" s="102" t="s">
        <v>31</v>
      </c>
      <c r="BK73" s="103" t="s">
        <v>341</v>
      </c>
      <c r="BL73" s="17"/>
      <c r="BM73" s="159" t="str">
        <f t="shared" si="63"/>
        <v>15, N/A (0), Très peu mobile (solubilité), Non mobile (log Koc), Non volatil, N/A,EUROFINS</v>
      </c>
      <c r="BN73" s="17"/>
      <c r="BO73" s="17"/>
      <c r="BP73" s="17"/>
      <c r="BQ73" s="17"/>
      <c r="BR73" s="17"/>
      <c r="BS73" s="17"/>
      <c r="BT73" s="30">
        <v>15</v>
      </c>
      <c r="BU73" s="31" t="s">
        <v>31</v>
      </c>
      <c r="BV73" s="31" t="s">
        <v>1077</v>
      </c>
      <c r="BW73" s="31" t="s">
        <v>1080</v>
      </c>
      <c r="BX73" s="31" t="s">
        <v>1081</v>
      </c>
      <c r="BY73" s="31" t="s">
        <v>31</v>
      </c>
      <c r="BZ73" s="32" t="s">
        <v>341</v>
      </c>
      <c r="CA73" s="17"/>
      <c r="CB73" s="105" t="s">
        <v>1261</v>
      </c>
      <c r="CC73" s="106">
        <v>3</v>
      </c>
      <c r="CD73" s="17"/>
      <c r="CE73" s="107">
        <f t="shared" si="69"/>
        <v>29</v>
      </c>
      <c r="CF73" s="108">
        <f t="shared" si="47"/>
        <v>0.36708860759493672</v>
      </c>
      <c r="CG73" s="17"/>
      <c r="CH73" s="110" t="str">
        <f t="shared" si="48"/>
        <v>Catégorie 2</v>
      </c>
      <c r="CI73" s="111" t="str">
        <f t="shared" si="49"/>
        <v/>
      </c>
      <c r="CJ73" s="112" t="str">
        <f t="shared" si="70"/>
        <v/>
      </c>
      <c r="CK73" s="112" t="str">
        <f t="shared" si="71"/>
        <v/>
      </c>
      <c r="CL73" s="113" t="str">
        <f t="shared" si="72"/>
        <v/>
      </c>
      <c r="CM73" s="113" t="str">
        <f t="shared" si="73"/>
        <v/>
      </c>
      <c r="CN73" s="114" t="str">
        <f t="shared" si="74"/>
        <v>Top 75%</v>
      </c>
      <c r="CO73" s="17"/>
      <c r="CP73" s="17"/>
      <c r="CQ73" s="17"/>
      <c r="CR73" s="17"/>
      <c r="CS73" s="17"/>
      <c r="CT73" s="17"/>
      <c r="CU73" s="17"/>
      <c r="CV73" s="17"/>
      <c r="CW73" s="17"/>
      <c r="CX73" s="17"/>
      <c r="CY73" s="17"/>
      <c r="CZ73" s="17"/>
      <c r="DA73" s="17"/>
      <c r="DB73" s="17"/>
      <c r="DC73" s="17"/>
      <c r="DD73" s="17"/>
      <c r="DE73" s="17"/>
      <c r="DF73" s="17"/>
      <c r="DG73" s="17"/>
      <c r="DH73" s="17"/>
      <c r="DI73" s="17"/>
      <c r="DJ73" s="17"/>
      <c r="DK73" s="17"/>
      <c r="DL73" s="17"/>
      <c r="DM73" s="17"/>
      <c r="DN73" s="17"/>
      <c r="DO73" s="17"/>
      <c r="DP73" s="17"/>
    </row>
    <row r="74" spans="1:121" s="19" customFormat="1" ht="49" customHeight="1" x14ac:dyDescent="0.35">
      <c r="A74" s="4" t="s">
        <v>906</v>
      </c>
      <c r="B74" s="10" t="s">
        <v>880</v>
      </c>
      <c r="C74" s="11" t="s">
        <v>881</v>
      </c>
      <c r="D74" s="11" t="s">
        <v>882</v>
      </c>
      <c r="E74" s="11" t="s">
        <v>883</v>
      </c>
      <c r="F74" s="11" t="s">
        <v>884</v>
      </c>
      <c r="G74" s="11" t="s">
        <v>885</v>
      </c>
      <c r="H74" s="11" t="s">
        <v>830</v>
      </c>
      <c r="I74" s="4"/>
      <c r="J74" s="11" t="s">
        <v>31</v>
      </c>
      <c r="K74" s="11"/>
      <c r="L74" s="11"/>
      <c r="M74" s="11"/>
      <c r="N74" s="11"/>
      <c r="O74" s="11"/>
      <c r="P74" s="11"/>
      <c r="Q74" s="11"/>
      <c r="R74" s="11" t="s">
        <v>31</v>
      </c>
      <c r="S74" s="11"/>
      <c r="T74" s="11" t="s">
        <v>907</v>
      </c>
      <c r="U74" s="11" t="s">
        <v>52</v>
      </c>
      <c r="V74" s="11" t="s">
        <v>922</v>
      </c>
      <c r="W74" s="11" t="s">
        <v>940</v>
      </c>
      <c r="X74" s="11" t="s">
        <v>958</v>
      </c>
      <c r="Y74" s="11">
        <v>7.33</v>
      </c>
      <c r="Z74" s="4"/>
      <c r="AA74" s="21">
        <f>LOG(417000)</f>
        <v>5.6201360549737576</v>
      </c>
      <c r="AB74" s="11" t="s">
        <v>977</v>
      </c>
      <c r="AC74" s="11" t="s">
        <v>992</v>
      </c>
      <c r="AD74" s="10"/>
      <c r="AE74" s="92" t="str" cm="1">
        <f t="array" ref="AE74">_xlfn.IFS(COUNTIF(Table14623[[#This Row],[PBT/ vPvB]],"*X*"), 20, TRUE, "")</f>
        <v/>
      </c>
      <c r="AF74" s="93" t="str" cm="1">
        <f t="array" ref="AF74">_xlfn.IFS(COUNTIF(Table14623[[#This Row],[Perturbateur Endocrinien]],"*X*"), 20, TRUE, "")</f>
        <v/>
      </c>
      <c r="AG74" s="93" t="str" cm="1">
        <f t="array" ref="AG74">_xlfn.IFS(COUNTIF(Table14623[[#This Row],[Phrases H]],"*H350*"), 20, TRUE, "")</f>
        <v/>
      </c>
      <c r="AH74" s="93" t="str" cm="1">
        <f t="array" ref="AH74">_xlfn.IFS(COUNTIF(Table14623[[#This Row],[Phrases H]],"*H360*"), 20, TRUE, "")</f>
        <v/>
      </c>
      <c r="AI74" s="93" t="str" cm="1">
        <f t="array" ref="AI74">_xlfn.IFS(COUNTIF(Table14623[[#This Row],[Phrases H]],"*H340*"), 20, TRUE, "")</f>
        <v/>
      </c>
      <c r="AJ74" s="93" t="str" cm="1">
        <f t="array" ref="AJ74">_xlfn.IFS(COUNTIF(Table14623[[#This Row],[Phrases H]],"*H351*"), 10, TRUE, "")</f>
        <v/>
      </c>
      <c r="AK74" s="93" t="str" cm="1">
        <f t="array" ref="AK74">_xlfn.IFS(COUNTIF(Table14623[[#This Row],[Phrases H]],"*H361*"), 10, TRUE, "")</f>
        <v/>
      </c>
      <c r="AL74" s="93" t="str" cm="1">
        <f t="array" ref="AL74">_xlfn.IFS(COUNTIF(Table14623[[#This Row],[Phrases H]],"*H362*"), 10, TRUE, "")</f>
        <v/>
      </c>
      <c r="AM74" s="93" t="str" cm="1">
        <f t="array" ref="AM74">_xlfn.IFS(COUNTIF(Table14623[[#This Row],[Phrases H]],"*H341*"), 10, TRUE, "")</f>
        <v/>
      </c>
      <c r="AN74" s="93" t="str" cm="1">
        <f t="array" ref="AN74">_xlfn.IFS(COUNTIF(Table14623[[#This Row],[Phrases H]],"*H372*"), 10, TRUE, "")</f>
        <v/>
      </c>
      <c r="AO74" s="93" cm="1">
        <f t="array" ref="AO74">_xlfn.IFS(COUNTIF(Table14623[[#This Row],[Phrases H]],"*H410*"), 10, TRUE, "")</f>
        <v>10</v>
      </c>
      <c r="AP74" s="93" cm="1">
        <f t="array" ref="AP74">_xlfn.IFS(COUNTIF(Table14623[[#This Row],[Phrases H]],"*H373*"), 5, TRUE, "")</f>
        <v>5</v>
      </c>
      <c r="AQ74" s="93" t="str" cm="1">
        <f t="array" ref="AQ74">_xlfn.IFS(COUNTIF(Table14623[[#This Row],[Phrases H]],"*H411*"), 5, TRUE, "")</f>
        <v/>
      </c>
      <c r="AR74" s="94">
        <f t="shared" si="66"/>
        <v>15</v>
      </c>
      <c r="AS74" s="95"/>
      <c r="AT74" s="144" t="s">
        <v>31</v>
      </c>
      <c r="AU74" s="97" t="s">
        <v>337</v>
      </c>
      <c r="AV74" s="98">
        <f t="shared" si="67"/>
        <v>0</v>
      </c>
      <c r="AW74" s="99" t="str">
        <f t="shared" si="68"/>
        <v>N/A</v>
      </c>
      <c r="AX74" s="95"/>
      <c r="AY74" s="100">
        <f t="shared" si="61"/>
        <v>15</v>
      </c>
      <c r="AZ74" s="17"/>
      <c r="BA74" s="144">
        <v>5.13E-4</v>
      </c>
      <c r="BB74" s="101">
        <f t="shared" si="59"/>
        <v>10</v>
      </c>
      <c r="BC74" s="98" t="str">
        <f t="shared" si="60"/>
        <v>Très peu mobile</v>
      </c>
      <c r="BD74" s="101">
        <v>5.6201360549737576</v>
      </c>
      <c r="BE74" s="98" t="str">
        <f t="shared" si="62"/>
        <v>Non mobile</v>
      </c>
      <c r="BF74" s="101">
        <v>360.9</v>
      </c>
      <c r="BG74" s="101">
        <v>2.1499999999999999E-4</v>
      </c>
      <c r="BH74" s="101">
        <v>88.14</v>
      </c>
      <c r="BI74" s="98" t="str">
        <f t="shared" si="46"/>
        <v>Non volatil</v>
      </c>
      <c r="BJ74" s="102" t="s">
        <v>31</v>
      </c>
      <c r="BK74" s="103" t="s">
        <v>31</v>
      </c>
      <c r="BL74" s="17"/>
      <c r="BM74" s="159" t="str">
        <f t="shared" si="63"/>
        <v>15, N/A (0), Très peu mobile (solubilité), Non mobile (log Koc), Non volatil, N/A,N/A</v>
      </c>
      <c r="BN74" s="17"/>
      <c r="BO74" s="17"/>
      <c r="BP74" s="17"/>
      <c r="BQ74" s="17"/>
      <c r="BR74" s="17"/>
      <c r="BS74" s="17"/>
      <c r="BT74" s="30">
        <v>15</v>
      </c>
      <c r="BU74" s="31" t="s">
        <v>31</v>
      </c>
      <c r="BV74" s="31" t="s">
        <v>1077</v>
      </c>
      <c r="BW74" s="31" t="s">
        <v>1080</v>
      </c>
      <c r="BX74" s="31" t="s">
        <v>1081</v>
      </c>
      <c r="BY74" s="31" t="s">
        <v>31</v>
      </c>
      <c r="BZ74" s="32" t="s">
        <v>31</v>
      </c>
      <c r="CA74" s="17"/>
      <c r="CB74" s="105" t="s">
        <v>1261</v>
      </c>
      <c r="CC74" s="106">
        <v>3</v>
      </c>
      <c r="CD74" s="17"/>
      <c r="CE74" s="107">
        <f t="shared" si="69"/>
        <v>29</v>
      </c>
      <c r="CF74" s="108">
        <f t="shared" si="47"/>
        <v>0.36708860759493672</v>
      </c>
      <c r="CG74" s="17"/>
      <c r="CH74" s="110" t="str">
        <f t="shared" si="48"/>
        <v>Catégorie 2</v>
      </c>
      <c r="CI74" s="111" t="str">
        <f t="shared" si="49"/>
        <v>c</v>
      </c>
      <c r="CJ74" s="112" t="str">
        <f t="shared" si="70"/>
        <v/>
      </c>
      <c r="CK74" s="112" t="str">
        <f t="shared" si="71"/>
        <v/>
      </c>
      <c r="CL74" s="113" t="str">
        <f t="shared" si="72"/>
        <v/>
      </c>
      <c r="CM74" s="113" t="str">
        <f t="shared" si="73"/>
        <v/>
      </c>
      <c r="CN74" s="114" t="str">
        <f t="shared" si="74"/>
        <v>Top 75%</v>
      </c>
      <c r="CO74" s="17"/>
      <c r="CP74" s="17"/>
      <c r="CQ74" s="17"/>
      <c r="CR74" s="17"/>
      <c r="CS74" s="17"/>
      <c r="CT74" s="17"/>
      <c r="CU74" s="17"/>
      <c r="CV74" s="17"/>
      <c r="CW74" s="17"/>
      <c r="CX74" s="17"/>
      <c r="CY74" s="17"/>
      <c r="CZ74" s="17"/>
      <c r="DA74" s="17"/>
      <c r="DB74" s="17"/>
      <c r="DC74" s="17"/>
      <c r="DD74" s="17"/>
      <c r="DE74" s="17"/>
      <c r="DF74" s="17"/>
      <c r="DG74" s="17"/>
      <c r="DH74" s="17"/>
      <c r="DI74" s="17"/>
      <c r="DJ74" s="17"/>
      <c r="DK74" s="17"/>
      <c r="DL74" s="17"/>
      <c r="DM74" s="17"/>
      <c r="DN74" s="17"/>
      <c r="DO74" s="17"/>
      <c r="DP74" s="17"/>
      <c r="DQ74" s="23"/>
    </row>
    <row r="75" spans="1:121" s="19" customFormat="1" ht="46.5" customHeight="1" x14ac:dyDescent="0.35">
      <c r="A75" s="4" t="s">
        <v>906</v>
      </c>
      <c r="B75" s="10" t="s">
        <v>886</v>
      </c>
      <c r="C75" s="11" t="s">
        <v>887</v>
      </c>
      <c r="D75" s="11" t="s">
        <v>888</v>
      </c>
      <c r="E75" s="11" t="s">
        <v>889</v>
      </c>
      <c r="F75" s="11" t="s">
        <v>884</v>
      </c>
      <c r="G75" s="11" t="s">
        <v>890</v>
      </c>
      <c r="H75" s="11" t="s">
        <v>830</v>
      </c>
      <c r="I75" s="4"/>
      <c r="J75" s="11" t="s">
        <v>31</v>
      </c>
      <c r="K75" s="11"/>
      <c r="L75" s="11"/>
      <c r="M75" s="11"/>
      <c r="N75" s="11"/>
      <c r="O75" s="11"/>
      <c r="P75" s="11"/>
      <c r="Q75" s="11"/>
      <c r="R75" s="11" t="s">
        <v>31</v>
      </c>
      <c r="S75" s="11"/>
      <c r="T75" s="11" t="s">
        <v>907</v>
      </c>
      <c r="U75" s="11" t="s">
        <v>52</v>
      </c>
      <c r="V75" s="11" t="s">
        <v>923</v>
      </c>
      <c r="W75" s="11" t="s">
        <v>941</v>
      </c>
      <c r="X75" s="11" t="s">
        <v>959</v>
      </c>
      <c r="Y75" s="11">
        <v>7.6</v>
      </c>
      <c r="Z75" s="4"/>
      <c r="AA75" s="11">
        <v>5.33</v>
      </c>
      <c r="AB75" s="11" t="s">
        <v>978</v>
      </c>
      <c r="AC75" s="11" t="s">
        <v>993</v>
      </c>
      <c r="AD75" s="10"/>
      <c r="AE75" s="92" t="str" cm="1">
        <f t="array" ref="AE75">_xlfn.IFS(COUNTIF(Table14623[[#This Row],[PBT/ vPvB]],"*X*"), 20, TRUE, "")</f>
        <v/>
      </c>
      <c r="AF75" s="93" t="str" cm="1">
        <f t="array" ref="AF75">_xlfn.IFS(COUNTIF(Table14623[[#This Row],[Perturbateur Endocrinien]],"*X*"), 20, TRUE, "")</f>
        <v/>
      </c>
      <c r="AG75" s="93" t="str" cm="1">
        <f t="array" ref="AG75">_xlfn.IFS(COUNTIF(Table14623[[#This Row],[Phrases H]],"*H350*"), 20, TRUE, "")</f>
        <v/>
      </c>
      <c r="AH75" s="93" t="str" cm="1">
        <f t="array" ref="AH75">_xlfn.IFS(COUNTIF(Table14623[[#This Row],[Phrases H]],"*H360*"), 20, TRUE, "")</f>
        <v/>
      </c>
      <c r="AI75" s="93" t="str" cm="1">
        <f t="array" ref="AI75">_xlfn.IFS(COUNTIF(Table14623[[#This Row],[Phrases H]],"*H340*"), 20, TRUE, "")</f>
        <v/>
      </c>
      <c r="AJ75" s="93" t="str" cm="1">
        <f t="array" ref="AJ75">_xlfn.IFS(COUNTIF(Table14623[[#This Row],[Phrases H]],"*H351*"), 10, TRUE, "")</f>
        <v/>
      </c>
      <c r="AK75" s="93" t="str" cm="1">
        <f t="array" ref="AK75">_xlfn.IFS(COUNTIF(Table14623[[#This Row],[Phrases H]],"*H361*"), 10, TRUE, "")</f>
        <v/>
      </c>
      <c r="AL75" s="93" t="str" cm="1">
        <f t="array" ref="AL75">_xlfn.IFS(COUNTIF(Table14623[[#This Row],[Phrases H]],"*H362*"), 10, TRUE, "")</f>
        <v/>
      </c>
      <c r="AM75" s="93" t="str" cm="1">
        <f t="array" ref="AM75">_xlfn.IFS(COUNTIF(Table14623[[#This Row],[Phrases H]],"*H341*"), 10, TRUE, "")</f>
        <v/>
      </c>
      <c r="AN75" s="93" t="str" cm="1">
        <f t="array" ref="AN75">_xlfn.IFS(COUNTIF(Table14623[[#This Row],[Phrases H]],"*H372*"), 10, TRUE, "")</f>
        <v/>
      </c>
      <c r="AO75" s="93" cm="1">
        <f t="array" ref="AO75">_xlfn.IFS(COUNTIF(Table14623[[#This Row],[Phrases H]],"*H410*"), 10, TRUE, "")</f>
        <v>10</v>
      </c>
      <c r="AP75" s="93" cm="1">
        <f t="array" ref="AP75">_xlfn.IFS(COUNTIF(Table14623[[#This Row],[Phrases H]],"*H373*"), 5, TRUE, "")</f>
        <v>5</v>
      </c>
      <c r="AQ75" s="93" t="str" cm="1">
        <f t="array" ref="AQ75">_xlfn.IFS(COUNTIF(Table14623[[#This Row],[Phrases H]],"*H411*"), 5, TRUE, "")</f>
        <v/>
      </c>
      <c r="AR75" s="94">
        <f t="shared" si="66"/>
        <v>15</v>
      </c>
      <c r="AS75" s="95"/>
      <c r="AT75" s="144" t="s">
        <v>31</v>
      </c>
      <c r="AU75" s="97" t="s">
        <v>337</v>
      </c>
      <c r="AV75" s="98">
        <f t="shared" si="67"/>
        <v>0</v>
      </c>
      <c r="AW75" s="99" t="str">
        <f t="shared" si="68"/>
        <v>N/A</v>
      </c>
      <c r="AX75" s="95"/>
      <c r="AY75" s="100">
        <f t="shared" si="61"/>
        <v>15</v>
      </c>
      <c r="AZ75" s="17"/>
      <c r="BA75" s="144">
        <v>8.3999999999999995E-5</v>
      </c>
      <c r="BB75" s="101">
        <f t="shared" si="59"/>
        <v>10</v>
      </c>
      <c r="BC75" s="98" t="str">
        <f t="shared" si="60"/>
        <v>Très peu mobile</v>
      </c>
      <c r="BD75" s="101">
        <v>5.33</v>
      </c>
      <c r="BE75" s="98" t="str">
        <f t="shared" si="62"/>
        <v>Non mobile</v>
      </c>
      <c r="BF75" s="101">
        <v>360.9</v>
      </c>
      <c r="BG75" s="101">
        <v>8.09E-3</v>
      </c>
      <c r="BH75" s="101">
        <v>3.3</v>
      </c>
      <c r="BI75" s="98" t="str">
        <f t="shared" ref="BI75:BI97" si="75">IF(OR(BF75="N/A",BG75="N/A",BH75="N/A"),"N/A",IF(AND(BF75&gt;200,BG75&gt;67,BH75&gt;0.5),"Volatile","Non volatil"))</f>
        <v>Non volatil</v>
      </c>
      <c r="BJ75" s="102" t="s">
        <v>31</v>
      </c>
      <c r="BK75" s="103" t="s">
        <v>341</v>
      </c>
      <c r="BL75" s="17"/>
      <c r="BM75" s="159" t="str">
        <f t="shared" si="63"/>
        <v>15, N/A (0), Très peu mobile (solubilité), Non mobile (log Koc), Non volatil, N/A,EUROFINS</v>
      </c>
      <c r="BN75" s="17"/>
      <c r="BO75" s="17"/>
      <c r="BP75" s="17"/>
      <c r="BQ75" s="17"/>
      <c r="BR75" s="17"/>
      <c r="BS75" s="17"/>
      <c r="BT75" s="30">
        <v>15</v>
      </c>
      <c r="BU75" s="31" t="s">
        <v>31</v>
      </c>
      <c r="BV75" s="31" t="s">
        <v>1077</v>
      </c>
      <c r="BW75" s="31" t="s">
        <v>1080</v>
      </c>
      <c r="BX75" s="31" t="s">
        <v>1081</v>
      </c>
      <c r="BY75" s="31" t="s">
        <v>31</v>
      </c>
      <c r="BZ75" s="32" t="s">
        <v>341</v>
      </c>
      <c r="CA75" s="17"/>
      <c r="CB75" s="105" t="s">
        <v>1261</v>
      </c>
      <c r="CC75" s="106">
        <v>3</v>
      </c>
      <c r="CD75" s="17"/>
      <c r="CE75" s="107">
        <f t="shared" si="69"/>
        <v>29</v>
      </c>
      <c r="CF75" s="108">
        <f t="shared" ref="CF75:CF99" si="76">CE75/79</f>
        <v>0.36708860759493672</v>
      </c>
      <c r="CG75" s="17"/>
      <c r="CH75" s="110" t="str">
        <f t="shared" ref="CH75:CH99" si="77">IF(CF75&lt;=0.2,"Catégorie 1",IF(CF75&lt;=0.4,"Catégorie 2",IF(CF75&lt;=0.6,"Catégorie 3",IF(CF75&lt;=0.8,"Catégorie 4","Catégorie 5"))))</f>
        <v>Catégorie 2</v>
      </c>
      <c r="CI75" s="111" t="str">
        <f t="shared" ref="CI75:CI99" si="78">IF(BZ75="N/A","c","")</f>
        <v/>
      </c>
      <c r="CJ75" s="112" t="str">
        <f t="shared" si="70"/>
        <v/>
      </c>
      <c r="CK75" s="112" t="str">
        <f t="shared" si="71"/>
        <v/>
      </c>
      <c r="CL75" s="113" t="str">
        <f t="shared" si="72"/>
        <v/>
      </c>
      <c r="CM75" s="113" t="str">
        <f t="shared" si="73"/>
        <v/>
      </c>
      <c r="CN75" s="114" t="str">
        <f t="shared" si="74"/>
        <v>Top 75%</v>
      </c>
      <c r="CO75" s="17"/>
      <c r="CP75" s="17"/>
      <c r="CQ75" s="17"/>
      <c r="CR75" s="17"/>
      <c r="CS75" s="17"/>
      <c r="CT75" s="17"/>
      <c r="CU75" s="17"/>
      <c r="CV75" s="17"/>
      <c r="CW75" s="17"/>
      <c r="CX75" s="17"/>
      <c r="CY75" s="17"/>
      <c r="CZ75" s="17"/>
      <c r="DA75" s="17"/>
      <c r="DB75" s="17"/>
      <c r="DC75" s="17"/>
      <c r="DD75" s="17"/>
      <c r="DE75" s="17"/>
      <c r="DF75" s="17"/>
      <c r="DG75" s="17"/>
      <c r="DH75" s="17"/>
      <c r="DI75" s="17"/>
      <c r="DJ75" s="17"/>
      <c r="DK75" s="17"/>
      <c r="DL75" s="17"/>
      <c r="DM75" s="17"/>
      <c r="DN75" s="17"/>
      <c r="DO75" s="17"/>
      <c r="DP75" s="17"/>
    </row>
    <row r="76" spans="1:121" s="19" customFormat="1" ht="48" customHeight="1" x14ac:dyDescent="0.35">
      <c r="A76" s="4" t="s">
        <v>906</v>
      </c>
      <c r="B76" s="10" t="s">
        <v>891</v>
      </c>
      <c r="C76" s="11" t="s">
        <v>892</v>
      </c>
      <c r="D76" s="11" t="s">
        <v>893</v>
      </c>
      <c r="E76" s="11" t="s">
        <v>894</v>
      </c>
      <c r="F76" s="11" t="s">
        <v>884</v>
      </c>
      <c r="G76" s="11" t="s">
        <v>895</v>
      </c>
      <c r="H76" s="11" t="s">
        <v>830</v>
      </c>
      <c r="I76" s="4"/>
      <c r="J76" s="11" t="s">
        <v>31</v>
      </c>
      <c r="K76" s="11"/>
      <c r="L76" s="11" t="s">
        <v>30</v>
      </c>
      <c r="M76" s="11"/>
      <c r="N76" s="11"/>
      <c r="O76" s="11"/>
      <c r="P76" s="11"/>
      <c r="Q76" s="11"/>
      <c r="R76" s="11" t="s">
        <v>31</v>
      </c>
      <c r="S76" s="11"/>
      <c r="T76" s="11" t="s">
        <v>907</v>
      </c>
      <c r="U76" s="11" t="s">
        <v>52</v>
      </c>
      <c r="V76" s="11" t="s">
        <v>924</v>
      </c>
      <c r="W76" s="11" t="s">
        <v>942</v>
      </c>
      <c r="X76" s="11" t="s">
        <v>960</v>
      </c>
      <c r="Y76" s="11">
        <v>7.5</v>
      </c>
      <c r="Z76" s="4"/>
      <c r="AA76" s="11">
        <v>5.33</v>
      </c>
      <c r="AB76" s="11" t="s">
        <v>979</v>
      </c>
      <c r="AC76" s="11" t="s">
        <v>994</v>
      </c>
      <c r="AD76" s="10"/>
      <c r="AE76" s="146" t="str" cm="1">
        <f t="array" ref="AE76">_xlfn.IFS(COUNTIF(Table14623[[#This Row],[PBT/ vPvB]],"*X*"), 20, TRUE, "")</f>
        <v/>
      </c>
      <c r="AF76" s="147" t="str" cm="1">
        <f t="array" ref="AF76">_xlfn.IFS(COUNTIF(Table14623[[#This Row],[Perturbateur Endocrinien]],"*X*"), 20, TRUE, "")</f>
        <v/>
      </c>
      <c r="AG76" s="147" t="str" cm="1">
        <f t="array" ref="AG76">_xlfn.IFS(COUNTIF(Table14623[[#This Row],[Phrases H]],"*H350*"), 20, TRUE, "")</f>
        <v/>
      </c>
      <c r="AH76" s="147" t="str" cm="1">
        <f t="array" ref="AH76">_xlfn.IFS(COUNTIF(Table14623[[#This Row],[Phrases H]],"*H360*"), 20, TRUE, "")</f>
        <v/>
      </c>
      <c r="AI76" s="147" t="str" cm="1">
        <f t="array" ref="AI76">_xlfn.IFS(COUNTIF(Table14623[[#This Row],[Phrases H]],"*H340*"), 20, TRUE, "")</f>
        <v/>
      </c>
      <c r="AJ76" s="147" t="str" cm="1">
        <f t="array" ref="AJ76">_xlfn.IFS(COUNTIF(Table14623[[#This Row],[Phrases H]],"*H351*"), 10, TRUE, "")</f>
        <v/>
      </c>
      <c r="AK76" s="147" t="str" cm="1">
        <f t="array" ref="AK76">_xlfn.IFS(COUNTIF(Table14623[[#This Row],[Phrases H]],"*H361*"), 10, TRUE, "")</f>
        <v/>
      </c>
      <c r="AL76" s="147" t="str" cm="1">
        <f t="array" ref="AL76">_xlfn.IFS(COUNTIF(Table14623[[#This Row],[Phrases H]],"*H362*"), 10, TRUE, "")</f>
        <v/>
      </c>
      <c r="AM76" s="147" t="str" cm="1">
        <f t="array" ref="AM76">_xlfn.IFS(COUNTIF(Table14623[[#This Row],[Phrases H]],"*H341*"), 10, TRUE, "")</f>
        <v/>
      </c>
      <c r="AN76" s="147" t="str" cm="1">
        <f t="array" ref="AN76">_xlfn.IFS(COUNTIF(Table14623[[#This Row],[Phrases H]],"*H372*"), 10, TRUE, "")</f>
        <v/>
      </c>
      <c r="AO76" s="147" cm="1">
        <f t="array" ref="AO76">_xlfn.IFS(COUNTIF(Table14623[[#This Row],[Phrases H]],"*H410*"), 10, TRUE, "")</f>
        <v>10</v>
      </c>
      <c r="AP76" s="147" cm="1">
        <f t="array" ref="AP76">_xlfn.IFS(COUNTIF(Table14623[[#This Row],[Phrases H]],"*H373*"), 5, TRUE, "")</f>
        <v>5</v>
      </c>
      <c r="AQ76" s="147" t="str" cm="1">
        <f t="array" ref="AQ76">_xlfn.IFS(COUNTIF(Table14623[[#This Row],[Phrases H]],"*H411*"), 5, TRUE, "")</f>
        <v/>
      </c>
      <c r="AR76" s="148">
        <f t="shared" si="66"/>
        <v>15</v>
      </c>
      <c r="AS76" s="95"/>
      <c r="AT76" s="144" t="s">
        <v>31</v>
      </c>
      <c r="AU76" s="97" t="s">
        <v>337</v>
      </c>
      <c r="AV76" s="98">
        <f t="shared" si="67"/>
        <v>0</v>
      </c>
      <c r="AW76" s="99" t="str">
        <f t="shared" si="68"/>
        <v>N/A</v>
      </c>
      <c r="AX76" s="95"/>
      <c r="AY76" s="100">
        <f t="shared" si="61"/>
        <v>15</v>
      </c>
      <c r="AZ76" s="17"/>
      <c r="BA76" s="144">
        <v>4.4200000000000001E-4</v>
      </c>
      <c r="BB76" s="101">
        <f t="shared" si="59"/>
        <v>10</v>
      </c>
      <c r="BC76" s="98" t="str">
        <f t="shared" si="60"/>
        <v>Très peu mobile</v>
      </c>
      <c r="BD76" s="101">
        <v>5.33</v>
      </c>
      <c r="BE76" s="98" t="str">
        <f t="shared" si="62"/>
        <v>Non mobile</v>
      </c>
      <c r="BF76" s="101">
        <v>360.9</v>
      </c>
      <c r="BG76" s="101">
        <v>2.1199999999999999E-3</v>
      </c>
      <c r="BH76" s="101">
        <v>4.47</v>
      </c>
      <c r="BI76" s="98" t="str">
        <f t="shared" si="75"/>
        <v>Non volatil</v>
      </c>
      <c r="BJ76" s="102" t="s">
        <v>31</v>
      </c>
      <c r="BK76" s="103" t="s">
        <v>341</v>
      </c>
      <c r="BL76" s="17"/>
      <c r="BM76" s="159" t="str">
        <f t="shared" si="63"/>
        <v>15, N/A (0), Très peu mobile (solubilité), Non mobile (log Koc), Non volatil, N/A,EUROFINS</v>
      </c>
      <c r="BN76" s="17"/>
      <c r="BO76" s="17"/>
      <c r="BP76" s="17"/>
      <c r="BQ76" s="17"/>
      <c r="BR76" s="17"/>
      <c r="BS76" s="17"/>
      <c r="BT76" s="30">
        <v>15</v>
      </c>
      <c r="BU76" s="31" t="s">
        <v>31</v>
      </c>
      <c r="BV76" s="31" t="s">
        <v>1077</v>
      </c>
      <c r="BW76" s="31" t="s">
        <v>1080</v>
      </c>
      <c r="BX76" s="31" t="s">
        <v>1081</v>
      </c>
      <c r="BY76" s="31" t="s">
        <v>31</v>
      </c>
      <c r="BZ76" s="32" t="s">
        <v>341</v>
      </c>
      <c r="CA76" s="17"/>
      <c r="CB76" s="105" t="s">
        <v>1261</v>
      </c>
      <c r="CC76" s="106">
        <v>3</v>
      </c>
      <c r="CD76" s="17"/>
      <c r="CE76" s="107">
        <f t="shared" si="69"/>
        <v>29</v>
      </c>
      <c r="CF76" s="108">
        <f t="shared" si="76"/>
        <v>0.36708860759493672</v>
      </c>
      <c r="CG76" s="17"/>
      <c r="CH76" s="110" t="str">
        <f t="shared" si="77"/>
        <v>Catégorie 2</v>
      </c>
      <c r="CI76" s="111" t="str">
        <f t="shared" si="78"/>
        <v/>
      </c>
      <c r="CJ76" s="112" t="str">
        <f t="shared" si="70"/>
        <v/>
      </c>
      <c r="CK76" s="112" t="str">
        <f t="shared" si="71"/>
        <v/>
      </c>
      <c r="CL76" s="113" t="str">
        <f t="shared" si="72"/>
        <v/>
      </c>
      <c r="CM76" s="113" t="str">
        <f t="shared" si="73"/>
        <v/>
      </c>
      <c r="CN76" s="114" t="str">
        <f t="shared" si="74"/>
        <v>Top 75%</v>
      </c>
      <c r="CO76" s="17"/>
      <c r="CP76" s="17"/>
      <c r="CQ76" s="17"/>
      <c r="CR76" s="17"/>
      <c r="CS76" s="17"/>
      <c r="CT76" s="17"/>
      <c r="CU76" s="17"/>
      <c r="CV76" s="17"/>
      <c r="CW76" s="17"/>
      <c r="CX76" s="17"/>
      <c r="CY76" s="17"/>
      <c r="CZ76" s="17"/>
      <c r="DA76" s="17"/>
      <c r="DB76" s="17"/>
      <c r="DC76" s="17"/>
      <c r="DD76" s="17"/>
      <c r="DE76" s="17"/>
      <c r="DF76" s="17"/>
      <c r="DG76" s="17"/>
      <c r="DH76" s="17"/>
      <c r="DI76" s="17"/>
      <c r="DJ76" s="17"/>
      <c r="DK76" s="17"/>
      <c r="DL76" s="17"/>
      <c r="DM76" s="17"/>
      <c r="DN76" s="17"/>
      <c r="DO76" s="17"/>
      <c r="DP76" s="17"/>
      <c r="DQ76" s="23"/>
    </row>
    <row r="77" spans="1:121" s="19" customFormat="1" ht="46.5" customHeight="1" x14ac:dyDescent="0.35">
      <c r="A77" s="4" t="s">
        <v>906</v>
      </c>
      <c r="B77" s="10" t="s">
        <v>896</v>
      </c>
      <c r="C77" s="11" t="s">
        <v>897</v>
      </c>
      <c r="D77" s="11" t="s">
        <v>898</v>
      </c>
      <c r="E77" s="11" t="s">
        <v>899</v>
      </c>
      <c r="F77" s="11" t="s">
        <v>835</v>
      </c>
      <c r="G77" s="11" t="s">
        <v>900</v>
      </c>
      <c r="H77" s="11" t="s">
        <v>830</v>
      </c>
      <c r="I77" s="4"/>
      <c r="J77" s="11" t="s">
        <v>31</v>
      </c>
      <c r="K77" s="11"/>
      <c r="L77" s="11" t="s">
        <v>30</v>
      </c>
      <c r="M77" s="11"/>
      <c r="N77" s="11"/>
      <c r="O77" s="11"/>
      <c r="P77" s="11"/>
      <c r="Q77" s="11"/>
      <c r="R77" s="11" t="s">
        <v>31</v>
      </c>
      <c r="S77" s="11"/>
      <c r="T77" s="11" t="s">
        <v>907</v>
      </c>
      <c r="U77" s="11" t="s">
        <v>52</v>
      </c>
      <c r="V77" s="11" t="s">
        <v>925</v>
      </c>
      <c r="W77" s="11" t="s">
        <v>943</v>
      </c>
      <c r="X77" s="11" t="s">
        <v>961</v>
      </c>
      <c r="Y77" s="24">
        <v>7.6</v>
      </c>
      <c r="Z77" s="4"/>
      <c r="AA77" s="11">
        <v>5.33</v>
      </c>
      <c r="AB77" s="11" t="s">
        <v>980</v>
      </c>
      <c r="AC77" s="11" t="s">
        <v>992</v>
      </c>
      <c r="AD77" s="10"/>
      <c r="AE77" s="92" t="str" cm="1">
        <f t="array" ref="AE77">_xlfn.IFS(COUNTIF(Table14623[[#This Row],[PBT/ vPvB]],"*X*"), 20, TRUE, "")</f>
        <v/>
      </c>
      <c r="AF77" s="93" t="str" cm="1">
        <f t="array" ref="AF77">_xlfn.IFS(COUNTIF(Table14623[[#This Row],[Perturbateur Endocrinien]],"*X*"), 20, TRUE, "")</f>
        <v/>
      </c>
      <c r="AG77" s="93" t="str" cm="1">
        <f t="array" ref="AG77">_xlfn.IFS(COUNTIF(Table14623[[#This Row],[Phrases H]],"*H350*"), 20, TRUE, "")</f>
        <v/>
      </c>
      <c r="AH77" s="93" t="str" cm="1">
        <f t="array" ref="AH77">_xlfn.IFS(COUNTIF(Table14623[[#This Row],[Phrases H]],"*H360*"), 20, TRUE, "")</f>
        <v/>
      </c>
      <c r="AI77" s="93" t="str" cm="1">
        <f t="array" ref="AI77">_xlfn.IFS(COUNTIF(Table14623[[#This Row],[Phrases H]],"*H340*"), 20, TRUE, "")</f>
        <v/>
      </c>
      <c r="AJ77" s="93" t="str" cm="1">
        <f t="array" ref="AJ77">_xlfn.IFS(COUNTIF(Table14623[[#This Row],[Phrases H]],"*H351*"), 10, TRUE, "")</f>
        <v/>
      </c>
      <c r="AK77" s="93" t="str" cm="1">
        <f t="array" ref="AK77">_xlfn.IFS(COUNTIF(Table14623[[#This Row],[Phrases H]],"*H361*"), 10, TRUE, "")</f>
        <v/>
      </c>
      <c r="AL77" s="93" t="str" cm="1">
        <f t="array" ref="AL77">_xlfn.IFS(COUNTIF(Table14623[[#This Row],[Phrases H]],"*H362*"), 10, TRUE, "")</f>
        <v/>
      </c>
      <c r="AM77" s="93" t="str" cm="1">
        <f t="array" ref="AM77">_xlfn.IFS(COUNTIF(Table14623[[#This Row],[Phrases H]],"*H341*"), 10, TRUE, "")</f>
        <v/>
      </c>
      <c r="AN77" s="93" t="str" cm="1">
        <f t="array" ref="AN77">_xlfn.IFS(COUNTIF(Table14623[[#This Row],[Phrases H]],"*H372*"), 10, TRUE, "")</f>
        <v/>
      </c>
      <c r="AO77" s="93" cm="1">
        <f t="array" ref="AO77">_xlfn.IFS(COUNTIF(Table14623[[#This Row],[Phrases H]],"*H410*"), 10, TRUE, "")</f>
        <v>10</v>
      </c>
      <c r="AP77" s="93" cm="1">
        <f t="array" ref="AP77">_xlfn.IFS(COUNTIF(Table14623[[#This Row],[Phrases H]],"*H373*"), 5, TRUE, "")</f>
        <v>5</v>
      </c>
      <c r="AQ77" s="93" t="str" cm="1">
        <f t="array" ref="AQ77">_xlfn.IFS(COUNTIF(Table14623[[#This Row],[Phrases H]],"*H411*"), 5, TRUE, "")</f>
        <v/>
      </c>
      <c r="AR77" s="94">
        <f t="shared" si="66"/>
        <v>15</v>
      </c>
      <c r="AS77" s="95"/>
      <c r="AT77" s="144" t="s">
        <v>31</v>
      </c>
      <c r="AU77" s="97" t="s">
        <v>337</v>
      </c>
      <c r="AV77" s="98">
        <f t="shared" si="67"/>
        <v>0</v>
      </c>
      <c r="AW77" s="99" t="str">
        <f t="shared" si="68"/>
        <v>N/A</v>
      </c>
      <c r="AX77" s="95"/>
      <c r="AY77" s="100">
        <f t="shared" si="61"/>
        <v>15</v>
      </c>
      <c r="AZ77" s="17"/>
      <c r="BA77" s="144">
        <v>5.3000000000000001E-5</v>
      </c>
      <c r="BB77" s="101">
        <f t="shared" si="59"/>
        <v>10</v>
      </c>
      <c r="BC77" s="98" t="str">
        <f t="shared" si="60"/>
        <v>Très peu mobile</v>
      </c>
      <c r="BD77" s="101">
        <v>5.33</v>
      </c>
      <c r="BE77" s="98" t="str">
        <f t="shared" si="62"/>
        <v>Non mobile</v>
      </c>
      <c r="BF77" s="101">
        <v>360.9</v>
      </c>
      <c r="BG77" s="101">
        <v>1.08E-6</v>
      </c>
      <c r="BH77" s="101">
        <v>0.85</v>
      </c>
      <c r="BI77" s="98" t="str">
        <f t="shared" si="75"/>
        <v>Non volatil</v>
      </c>
      <c r="BJ77" s="102" t="s">
        <v>31</v>
      </c>
      <c r="BK77" s="103" t="s">
        <v>31</v>
      </c>
      <c r="BL77" s="17"/>
      <c r="BM77" s="159" t="str">
        <f t="shared" si="63"/>
        <v>15, N/A (0), Très peu mobile (solubilité), Non mobile (log Koc), Non volatil, N/A,N/A</v>
      </c>
      <c r="BN77" s="17"/>
      <c r="BO77" s="17"/>
      <c r="BP77" s="17"/>
      <c r="BQ77" s="17"/>
      <c r="BR77" s="17"/>
      <c r="BS77" s="17"/>
      <c r="BT77" s="30">
        <v>15</v>
      </c>
      <c r="BU77" s="31" t="s">
        <v>31</v>
      </c>
      <c r="BV77" s="31" t="s">
        <v>1077</v>
      </c>
      <c r="BW77" s="31" t="s">
        <v>1080</v>
      </c>
      <c r="BX77" s="31" t="s">
        <v>1081</v>
      </c>
      <c r="BY77" s="31" t="s">
        <v>31</v>
      </c>
      <c r="BZ77" s="32" t="s">
        <v>31</v>
      </c>
      <c r="CA77" s="17"/>
      <c r="CB77" s="105" t="s">
        <v>1261</v>
      </c>
      <c r="CC77" s="106">
        <v>3</v>
      </c>
      <c r="CD77" s="17"/>
      <c r="CE77" s="107">
        <f t="shared" si="69"/>
        <v>29</v>
      </c>
      <c r="CF77" s="108">
        <f t="shared" si="76"/>
        <v>0.36708860759493672</v>
      </c>
      <c r="CG77" s="17"/>
      <c r="CH77" s="110" t="str">
        <f t="shared" si="77"/>
        <v>Catégorie 2</v>
      </c>
      <c r="CI77" s="111" t="str">
        <f t="shared" si="78"/>
        <v>c</v>
      </c>
      <c r="CJ77" s="112" t="str">
        <f t="shared" si="70"/>
        <v/>
      </c>
      <c r="CK77" s="112" t="str">
        <f t="shared" si="71"/>
        <v/>
      </c>
      <c r="CL77" s="113" t="str">
        <f t="shared" si="72"/>
        <v/>
      </c>
      <c r="CM77" s="113" t="str">
        <f t="shared" si="73"/>
        <v/>
      </c>
      <c r="CN77" s="114" t="str">
        <f t="shared" si="74"/>
        <v>Top 75%</v>
      </c>
      <c r="CO77" s="17"/>
      <c r="CP77" s="17"/>
      <c r="CQ77" s="17"/>
      <c r="CR77" s="17"/>
      <c r="CS77" s="17"/>
      <c r="CT77" s="17"/>
      <c r="CU77" s="17"/>
      <c r="CV77" s="17"/>
      <c r="CW77" s="17"/>
      <c r="CX77" s="17"/>
      <c r="CY77" s="17"/>
      <c r="CZ77" s="17"/>
      <c r="DA77" s="17"/>
      <c r="DB77" s="17"/>
      <c r="DC77" s="17"/>
      <c r="DD77" s="17"/>
      <c r="DE77" s="17"/>
      <c r="DF77" s="17"/>
      <c r="DG77" s="17"/>
      <c r="DH77" s="17"/>
      <c r="DI77" s="17"/>
      <c r="DJ77" s="17"/>
      <c r="DK77" s="17"/>
      <c r="DL77" s="17"/>
      <c r="DM77" s="17"/>
      <c r="DN77" s="17"/>
      <c r="DO77" s="17"/>
      <c r="DP77" s="17"/>
    </row>
    <row r="78" spans="1:121" s="19" customFormat="1" ht="50.5" customHeight="1" thickBot="1" x14ac:dyDescent="0.4">
      <c r="A78" s="4" t="s">
        <v>906</v>
      </c>
      <c r="B78" s="10" t="s">
        <v>901</v>
      </c>
      <c r="C78" s="11" t="s">
        <v>902</v>
      </c>
      <c r="D78" s="11" t="s">
        <v>903</v>
      </c>
      <c r="E78" s="11" t="s">
        <v>904</v>
      </c>
      <c r="F78" s="11" t="s">
        <v>846</v>
      </c>
      <c r="G78" s="11" t="s">
        <v>905</v>
      </c>
      <c r="H78" s="11" t="s">
        <v>830</v>
      </c>
      <c r="I78" s="4"/>
      <c r="J78" s="11" t="s">
        <v>31</v>
      </c>
      <c r="K78" s="11"/>
      <c r="L78" s="11" t="s">
        <v>30</v>
      </c>
      <c r="M78" s="11"/>
      <c r="N78" s="11"/>
      <c r="O78" s="11"/>
      <c r="P78" s="11"/>
      <c r="Q78" s="11"/>
      <c r="R78" s="11" t="s">
        <v>31</v>
      </c>
      <c r="S78" s="11"/>
      <c r="T78" s="11" t="s">
        <v>907</v>
      </c>
      <c r="U78" s="11" t="s">
        <v>52</v>
      </c>
      <c r="V78" s="11" t="s">
        <v>926</v>
      </c>
      <c r="W78" s="11" t="s">
        <v>944</v>
      </c>
      <c r="X78" s="11" t="s">
        <v>962</v>
      </c>
      <c r="Y78" s="11">
        <v>7.24</v>
      </c>
      <c r="Z78" s="4"/>
      <c r="AA78" s="11">
        <v>5.54</v>
      </c>
      <c r="AB78" s="11" t="s">
        <v>981</v>
      </c>
      <c r="AC78" s="11" t="s">
        <v>995</v>
      </c>
      <c r="AD78" s="10"/>
      <c r="AE78" s="196" t="str" cm="1">
        <f t="array" ref="AE78">_xlfn.IFS(COUNTIF(Table14623[[#This Row],[PBT/ vPvB]],"*X*"), 20, TRUE, "")</f>
        <v/>
      </c>
      <c r="AF78" s="197" t="str" cm="1">
        <f t="array" ref="AF78">_xlfn.IFS(COUNTIF(Table14623[[#This Row],[Perturbateur Endocrinien]],"*X*"), 20, TRUE, "")</f>
        <v/>
      </c>
      <c r="AG78" s="197" t="str" cm="1">
        <f t="array" ref="AG78">_xlfn.IFS(COUNTIF(Table14623[[#This Row],[Phrases H]],"*H350*"), 20, TRUE, "")</f>
        <v/>
      </c>
      <c r="AH78" s="197" t="str" cm="1">
        <f t="array" ref="AH78">_xlfn.IFS(COUNTIF(Table14623[[#This Row],[Phrases H]],"*H360*"), 20, TRUE, "")</f>
        <v/>
      </c>
      <c r="AI78" s="197" t="str" cm="1">
        <f t="array" ref="AI78">_xlfn.IFS(COUNTIF(Table14623[[#This Row],[Phrases H]],"*H340*"), 20, TRUE, "")</f>
        <v/>
      </c>
      <c r="AJ78" s="197" t="str" cm="1">
        <f t="array" ref="AJ78">_xlfn.IFS(COUNTIF(Table14623[[#This Row],[Phrases H]],"*H351*"), 10, TRUE, "")</f>
        <v/>
      </c>
      <c r="AK78" s="197" t="str" cm="1">
        <f t="array" ref="AK78">_xlfn.IFS(COUNTIF(Table14623[[#This Row],[Phrases H]],"*H361*"), 10, TRUE, "")</f>
        <v/>
      </c>
      <c r="AL78" s="197" t="str" cm="1">
        <f t="array" ref="AL78">_xlfn.IFS(COUNTIF(Table14623[[#This Row],[Phrases H]],"*H362*"), 10, TRUE, "")</f>
        <v/>
      </c>
      <c r="AM78" s="197" t="str" cm="1">
        <f t="array" ref="AM78">_xlfn.IFS(COUNTIF(Table14623[[#This Row],[Phrases H]],"*H341*"), 10, TRUE, "")</f>
        <v/>
      </c>
      <c r="AN78" s="197" t="str" cm="1">
        <f t="array" ref="AN78">_xlfn.IFS(COUNTIF(Table14623[[#This Row],[Phrases H]],"*H372*"), 10, TRUE, "")</f>
        <v/>
      </c>
      <c r="AO78" s="197" cm="1">
        <f t="array" ref="AO78">_xlfn.IFS(COUNTIF(Table14623[[#This Row],[Phrases H]],"*H410*"), 10, TRUE, "")</f>
        <v>10</v>
      </c>
      <c r="AP78" s="197" cm="1">
        <f t="array" ref="AP78">_xlfn.IFS(COUNTIF(Table14623[[#This Row],[Phrases H]],"*H373*"), 5, TRUE, "")</f>
        <v>5</v>
      </c>
      <c r="AQ78" s="197" t="str" cm="1">
        <f t="array" ref="AQ78">_xlfn.IFS(COUNTIF(Table14623[[#This Row],[Phrases H]],"*H411*"), 5, TRUE, "")</f>
        <v/>
      </c>
      <c r="AR78" s="198">
        <f t="shared" si="66"/>
        <v>15</v>
      </c>
      <c r="AS78" s="95"/>
      <c r="AT78" s="149" t="s">
        <v>31</v>
      </c>
      <c r="AU78" s="150" t="s">
        <v>337</v>
      </c>
      <c r="AV78" s="151">
        <f t="shared" si="67"/>
        <v>0</v>
      </c>
      <c r="AW78" s="152" t="str">
        <f t="shared" si="68"/>
        <v>N/A</v>
      </c>
      <c r="AX78" s="95"/>
      <c r="AY78" s="153">
        <f t="shared" si="61"/>
        <v>15</v>
      </c>
      <c r="AZ78" s="17"/>
      <c r="BA78" s="154">
        <v>2.9E-5</v>
      </c>
      <c r="BB78" s="155">
        <f t="shared" si="59"/>
        <v>10</v>
      </c>
      <c r="BC78" s="156" t="str">
        <f t="shared" si="60"/>
        <v>Très peu mobile</v>
      </c>
      <c r="BD78" s="155">
        <v>5.54</v>
      </c>
      <c r="BE78" s="156" t="str">
        <f t="shared" si="62"/>
        <v>Non mobile</v>
      </c>
      <c r="BF78" s="155">
        <v>395.3</v>
      </c>
      <c r="BG78" s="155">
        <v>1.4400000000000001E-3</v>
      </c>
      <c r="BH78" s="155">
        <v>0.90300000000000002</v>
      </c>
      <c r="BI78" s="156" t="str">
        <f t="shared" si="75"/>
        <v>Non volatil</v>
      </c>
      <c r="BJ78" s="157" t="s">
        <v>31</v>
      </c>
      <c r="BK78" s="158" t="s">
        <v>31</v>
      </c>
      <c r="BL78" s="17"/>
      <c r="BM78" s="159" t="str">
        <f t="shared" si="63"/>
        <v>15, N/A (0), Très peu mobile (solubilité), Non mobile (log Koc), Non volatil, N/A,N/A</v>
      </c>
      <c r="BN78" s="17"/>
      <c r="BO78" s="17"/>
      <c r="BP78" s="17"/>
      <c r="BQ78" s="17"/>
      <c r="BR78" s="17"/>
      <c r="BS78" s="17"/>
      <c r="BT78" s="44">
        <v>15</v>
      </c>
      <c r="BU78" s="45" t="s">
        <v>31</v>
      </c>
      <c r="BV78" s="45" t="s">
        <v>1077</v>
      </c>
      <c r="BW78" s="45" t="s">
        <v>1080</v>
      </c>
      <c r="BX78" s="45" t="s">
        <v>1081</v>
      </c>
      <c r="BY78" s="45" t="s">
        <v>31</v>
      </c>
      <c r="BZ78" s="32" t="s">
        <v>31</v>
      </c>
      <c r="CA78" s="17"/>
      <c r="CB78" s="160" t="s">
        <v>1261</v>
      </c>
      <c r="CC78" s="161">
        <v>3</v>
      </c>
      <c r="CD78" s="17"/>
      <c r="CE78" s="162">
        <f t="shared" si="69"/>
        <v>29</v>
      </c>
      <c r="CF78" s="163">
        <f t="shared" si="76"/>
        <v>0.36708860759493672</v>
      </c>
      <c r="CG78" s="17"/>
      <c r="CH78" s="164" t="str">
        <f t="shared" si="77"/>
        <v>Catégorie 2</v>
      </c>
      <c r="CI78" s="165" t="str">
        <f t="shared" si="78"/>
        <v>c</v>
      </c>
      <c r="CJ78" s="166" t="str">
        <f t="shared" si="70"/>
        <v/>
      </c>
      <c r="CK78" s="166" t="str">
        <f t="shared" si="71"/>
        <v/>
      </c>
      <c r="CL78" s="167" t="str">
        <f t="shared" si="72"/>
        <v/>
      </c>
      <c r="CM78" s="167" t="str">
        <f t="shared" si="73"/>
        <v/>
      </c>
      <c r="CN78" s="168" t="str">
        <f t="shared" si="74"/>
        <v>Top 75%</v>
      </c>
      <c r="CO78" s="17"/>
      <c r="CP78" s="17"/>
      <c r="CQ78" s="17"/>
      <c r="CR78" s="17"/>
      <c r="CS78" s="17"/>
      <c r="CT78" s="17"/>
      <c r="CU78" s="17"/>
      <c r="CV78" s="17"/>
      <c r="CW78" s="17"/>
      <c r="CX78" s="17"/>
      <c r="CY78" s="17"/>
      <c r="CZ78" s="17"/>
      <c r="DA78" s="17"/>
      <c r="DB78" s="17"/>
      <c r="DC78" s="17"/>
      <c r="DD78" s="17"/>
      <c r="DE78" s="17"/>
      <c r="DF78" s="17"/>
      <c r="DG78" s="17"/>
      <c r="DH78" s="17"/>
      <c r="DI78" s="17"/>
      <c r="DJ78" s="17"/>
      <c r="DK78" s="17"/>
      <c r="DL78" s="17"/>
      <c r="DM78" s="17"/>
      <c r="DN78" s="17"/>
      <c r="DO78" s="17"/>
      <c r="DP78" s="17"/>
      <c r="DQ78" s="23"/>
    </row>
    <row r="79" spans="1:121" s="19" customFormat="1" ht="30" customHeight="1" x14ac:dyDescent="0.35">
      <c r="A79" s="4" t="s">
        <v>996</v>
      </c>
      <c r="B79" s="17" t="s">
        <v>997</v>
      </c>
      <c r="C79" s="17" t="s">
        <v>998</v>
      </c>
      <c r="D79" s="17" t="s">
        <v>999</v>
      </c>
      <c r="E79" s="17" t="s">
        <v>1000</v>
      </c>
      <c r="F79" s="17" t="s">
        <v>1001</v>
      </c>
      <c r="G79" s="17" t="s">
        <v>1002</v>
      </c>
      <c r="H79" s="4"/>
      <c r="I79" s="4"/>
      <c r="J79" s="11" t="s">
        <v>1061</v>
      </c>
      <c r="K79" s="11"/>
      <c r="L79" s="11" t="s">
        <v>30</v>
      </c>
      <c r="M79" s="11"/>
      <c r="N79" s="11" t="s">
        <v>30</v>
      </c>
      <c r="O79" s="11" t="s">
        <v>30</v>
      </c>
      <c r="P79" s="11" t="s">
        <v>30</v>
      </c>
      <c r="Q79" s="11"/>
      <c r="R79" s="11" t="s">
        <v>1279</v>
      </c>
      <c r="S79" s="11" t="s">
        <v>30</v>
      </c>
      <c r="T79" s="11" t="s">
        <v>1064</v>
      </c>
      <c r="U79" s="11" t="s">
        <v>52</v>
      </c>
      <c r="V79" s="11" t="s">
        <v>1084</v>
      </c>
      <c r="W79" s="4">
        <v>0</v>
      </c>
      <c r="X79" s="4" t="s">
        <v>1099</v>
      </c>
      <c r="Y79" s="4" t="s">
        <v>1110</v>
      </c>
      <c r="Z79" s="4"/>
      <c r="AA79" s="4" t="s">
        <v>1121</v>
      </c>
      <c r="AB79" s="4" t="s">
        <v>1132</v>
      </c>
      <c r="AC79" s="4" t="s">
        <v>1143</v>
      </c>
      <c r="AD79" s="10"/>
      <c r="AE79" s="123" t="str" cm="1">
        <f t="array" ref="AE79">_xlfn.IFS(COUNTIF(Table14623[[#This Row],[PBT/ vPvB]],"*X*"), 20, TRUE, "")</f>
        <v/>
      </c>
      <c r="AF79" s="124" cm="1">
        <f t="array" ref="AF79">_xlfn.IFS(COUNTIF(Table14623[[#This Row],[Perturbateur Endocrinien]],"*X*"), 20, TRUE, "")</f>
        <v>20</v>
      </c>
      <c r="AG79" s="124" t="str" cm="1">
        <f t="array" ref="AG79">_xlfn.IFS(COUNTIF(Table14623[[#This Row],[Phrases H]],"*H350*"), 20, TRUE, "")</f>
        <v/>
      </c>
      <c r="AH79" s="124" cm="1">
        <f t="array" ref="AH79">_xlfn.IFS(COUNTIF(Table14623[[#This Row],[Phrases H]],"*H360*"), 20, TRUE, "")</f>
        <v>20</v>
      </c>
      <c r="AI79" s="124" t="str" cm="1">
        <f t="array" ref="AI79">_xlfn.IFS(COUNTIF(Table14623[[#This Row],[Phrases H]],"*H340*"), 20, TRUE, "")</f>
        <v/>
      </c>
      <c r="AJ79" s="124" t="str" cm="1">
        <f t="array" ref="AJ79">_xlfn.IFS(COUNTIF(Table14623[[#This Row],[Phrases H]],"*H351*"), 10, TRUE, "")</f>
        <v/>
      </c>
      <c r="AK79" s="124" t="str" cm="1">
        <f t="array" ref="AK79">_xlfn.IFS(COUNTIF(Table14623[[#This Row],[Phrases H]],"*H361*"), 10, TRUE, "")</f>
        <v/>
      </c>
      <c r="AL79" s="124" t="str" cm="1">
        <f t="array" ref="AL79">_xlfn.IFS(COUNTIF(Table14623[[#This Row],[Phrases H]],"*H362*"), 10, TRUE, "")</f>
        <v/>
      </c>
      <c r="AM79" s="124" t="str" cm="1">
        <f t="array" ref="AM79">_xlfn.IFS(COUNTIF(Table14623[[#This Row],[Phrases H]],"*H341*"), 10, TRUE, "")</f>
        <v/>
      </c>
      <c r="AN79" s="124" t="str" cm="1">
        <f t="array" ref="AN79">_xlfn.IFS(COUNTIF(Table14623[[#This Row],[Phrases H]],"*H372*"), 10, TRUE, "")</f>
        <v/>
      </c>
      <c r="AO79" s="124" t="str" cm="1">
        <f t="array" ref="AO79">_xlfn.IFS(COUNTIF(Table14623[[#This Row],[Phrases H]],"*H410*"), 10, TRUE, "")</f>
        <v/>
      </c>
      <c r="AP79" s="124" t="str" cm="1">
        <f t="array" ref="AP79">_xlfn.IFS(COUNTIF(Table14623[[#This Row],[Phrases H]],"*H373*"), 5, TRUE, "")</f>
        <v/>
      </c>
      <c r="AQ79" s="124" t="str" cm="1">
        <f t="array" ref="AQ79">_xlfn.IFS(COUNTIF(Table14623[[#This Row],[Phrases H]],"*H411*"), 5, TRUE, "")</f>
        <v/>
      </c>
      <c r="AR79" s="125">
        <f t="shared" ref="AR79:AR89" si="79">SUM(AE79:AQ79)</f>
        <v>40</v>
      </c>
      <c r="AS79" s="95"/>
      <c r="AT79" s="126">
        <v>100000</v>
      </c>
      <c r="AU79" s="127" t="s">
        <v>337</v>
      </c>
      <c r="AV79" s="128">
        <f t="shared" si="67"/>
        <v>25</v>
      </c>
      <c r="AW79" s="129" t="str">
        <f t="shared" si="68"/>
        <v>Production très élevée</v>
      </c>
      <c r="AX79" s="95"/>
      <c r="AY79" s="130">
        <f t="shared" si="61"/>
        <v>65</v>
      </c>
      <c r="AZ79" s="17"/>
      <c r="BA79" s="126" t="s">
        <v>1084</v>
      </c>
      <c r="BB79" s="131">
        <f t="shared" si="59"/>
        <v>50</v>
      </c>
      <c r="BC79" s="128" t="str">
        <f t="shared" si="60"/>
        <v>Très mobile</v>
      </c>
      <c r="BD79" s="131" t="s">
        <v>1121</v>
      </c>
      <c r="BE79" s="128" t="str">
        <f t="shared" si="62"/>
        <v>Non mobile</v>
      </c>
      <c r="BF79" s="131" t="s">
        <v>1155</v>
      </c>
      <c r="BG79" s="131">
        <v>0</v>
      </c>
      <c r="BH79" s="131" t="s">
        <v>1099</v>
      </c>
      <c r="BI79" s="128" t="str">
        <f t="shared" si="75"/>
        <v>Non volatil</v>
      </c>
      <c r="BJ79" s="132" t="s">
        <v>1279</v>
      </c>
      <c r="BK79" s="133" t="s">
        <v>343</v>
      </c>
      <c r="BL79" s="17"/>
      <c r="BM79" s="199" t="str">
        <f t="shared" si="63"/>
        <v>40, Production très élevée (25), Très mobile (solubilité), Non mobile (log Koc), Non volatil, facilement biodégradable  ,EUROFINS, SERVACO</v>
      </c>
      <c r="BN79" s="17"/>
      <c r="BO79" s="17"/>
      <c r="BP79" s="17"/>
      <c r="BQ79" s="17"/>
      <c r="BR79" s="17"/>
      <c r="BS79" s="17"/>
      <c r="BT79" s="39">
        <v>40</v>
      </c>
      <c r="BU79" s="40" t="s">
        <v>1072</v>
      </c>
      <c r="BV79" s="40" t="s">
        <v>1079</v>
      </c>
      <c r="BW79" s="40" t="s">
        <v>1080</v>
      </c>
      <c r="BX79" s="40" t="s">
        <v>1081</v>
      </c>
      <c r="BY79" s="40" t="s">
        <v>1279</v>
      </c>
      <c r="BZ79" s="41" t="s">
        <v>343</v>
      </c>
      <c r="CA79" s="17"/>
      <c r="CB79" s="105" t="s">
        <v>1263</v>
      </c>
      <c r="CC79" s="106">
        <v>2</v>
      </c>
      <c r="CD79" s="17"/>
      <c r="CE79" s="137">
        <f t="shared" si="69"/>
        <v>62.333333333333336</v>
      </c>
      <c r="CF79" s="138">
        <f t="shared" si="76"/>
        <v>0.78902953586497893</v>
      </c>
      <c r="CG79" s="17"/>
      <c r="CH79" s="139" t="str">
        <f t="shared" si="77"/>
        <v>Catégorie 4</v>
      </c>
      <c r="CI79" s="140" t="str">
        <f t="shared" si="78"/>
        <v/>
      </c>
      <c r="CJ79" s="141" t="str">
        <f t="shared" si="70"/>
        <v/>
      </c>
      <c r="CK79" s="141" t="str">
        <f t="shared" si="71"/>
        <v/>
      </c>
      <c r="CL79" s="142" t="str">
        <f t="shared" si="72"/>
        <v>Top 25%</v>
      </c>
      <c r="CM79" s="142" t="str">
        <f t="shared" si="73"/>
        <v>Top 50%</v>
      </c>
      <c r="CN79" s="143" t="str">
        <f t="shared" si="74"/>
        <v>Top 75%</v>
      </c>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row>
    <row r="80" spans="1:121" s="19" customFormat="1" ht="30" customHeight="1" x14ac:dyDescent="0.35">
      <c r="A80" s="4" t="s">
        <v>996</v>
      </c>
      <c r="B80" s="17" t="s">
        <v>1003</v>
      </c>
      <c r="C80" s="17" t="s">
        <v>1004</v>
      </c>
      <c r="D80" s="17" t="s">
        <v>1005</v>
      </c>
      <c r="E80" s="17" t="s">
        <v>1006</v>
      </c>
      <c r="F80" s="17" t="s">
        <v>1007</v>
      </c>
      <c r="G80" s="17" t="s">
        <v>1008</v>
      </c>
      <c r="H80" s="4"/>
      <c r="I80" s="4"/>
      <c r="J80" s="11" t="s">
        <v>53</v>
      </c>
      <c r="K80" s="11"/>
      <c r="L80" s="11"/>
      <c r="M80" s="11" t="s">
        <v>30</v>
      </c>
      <c r="N80" s="11" t="s">
        <v>30</v>
      </c>
      <c r="O80" s="11" t="s">
        <v>30</v>
      </c>
      <c r="P80" s="11"/>
      <c r="Q80" s="11"/>
      <c r="R80" s="11" t="s">
        <v>1279</v>
      </c>
      <c r="S80" s="11" t="s">
        <v>30</v>
      </c>
      <c r="T80" s="11" t="s">
        <v>1065</v>
      </c>
      <c r="U80" s="11" t="s">
        <v>52</v>
      </c>
      <c r="V80" s="12" t="s">
        <v>1085</v>
      </c>
      <c r="W80" s="4" t="s">
        <v>1092</v>
      </c>
      <c r="X80" s="4" t="s">
        <v>1100</v>
      </c>
      <c r="Y80" s="4" t="s">
        <v>1111</v>
      </c>
      <c r="Z80" s="4"/>
      <c r="AA80" s="4" t="s">
        <v>1122</v>
      </c>
      <c r="AB80" s="4" t="s">
        <v>1133</v>
      </c>
      <c r="AC80" s="4" t="s">
        <v>1144</v>
      </c>
      <c r="AD80" s="10"/>
      <c r="AE80" s="92" t="str" cm="1">
        <f t="array" ref="AE80">_xlfn.IFS(COUNTIF(Table14623[[#This Row],[PBT/ vPvB]],"*X*"), 20, TRUE, "")</f>
        <v/>
      </c>
      <c r="AF80" s="93" cm="1">
        <f t="array" ref="AF80">_xlfn.IFS(COUNTIF(Table14623[[#This Row],[Perturbateur Endocrinien]],"*X*"), 20, TRUE, "")</f>
        <v>20</v>
      </c>
      <c r="AG80" s="93" t="str" cm="1">
        <f t="array" ref="AG80">_xlfn.IFS(COUNTIF(Table14623[[#This Row],[Phrases H]],"*H350*"), 20, TRUE, "")</f>
        <v/>
      </c>
      <c r="AH80" s="93" cm="1">
        <f t="array" ref="AH80">_xlfn.IFS(COUNTIF(Table14623[[#This Row],[Phrases H]],"*H360*"), 20, TRUE, "")</f>
        <v>20</v>
      </c>
      <c r="AI80" s="93" t="str" cm="1">
        <f t="array" ref="AI80">_xlfn.IFS(COUNTIF(Table14623[[#This Row],[Phrases H]],"*H340*"), 20, TRUE, "")</f>
        <v/>
      </c>
      <c r="AJ80" s="93" t="str" cm="1">
        <f t="array" ref="AJ80">_xlfn.IFS(COUNTIF(Table14623[[#This Row],[Phrases H]],"*H351*"), 10, TRUE, "")</f>
        <v/>
      </c>
      <c r="AK80" s="93" t="str" cm="1">
        <f t="array" ref="AK80">_xlfn.IFS(COUNTIF(Table14623[[#This Row],[Phrases H]],"*H361*"), 10, TRUE, "")</f>
        <v/>
      </c>
      <c r="AL80" s="93" t="str" cm="1">
        <f t="array" ref="AL80">_xlfn.IFS(COUNTIF(Table14623[[#This Row],[Phrases H]],"*H362*"), 10, TRUE, "")</f>
        <v/>
      </c>
      <c r="AM80" s="93" t="str" cm="1">
        <f t="array" ref="AM80">_xlfn.IFS(COUNTIF(Table14623[[#This Row],[Phrases H]],"*H341*"), 10, TRUE, "")</f>
        <v/>
      </c>
      <c r="AN80" s="93" t="str" cm="1">
        <f t="array" ref="AN80">_xlfn.IFS(COUNTIF(Table14623[[#This Row],[Phrases H]],"*H372*"), 10, TRUE, "")</f>
        <v/>
      </c>
      <c r="AO80" s="93" cm="1">
        <f t="array" ref="AO80">_xlfn.IFS(COUNTIF(Table14623[[#This Row],[Phrases H]],"*H410*"), 10, TRUE, "")</f>
        <v>10</v>
      </c>
      <c r="AP80" s="93" t="str" cm="1">
        <f t="array" ref="AP80">_xlfn.IFS(COUNTIF(Table14623[[#This Row],[Phrases H]],"*H373*"), 5, TRUE, "")</f>
        <v/>
      </c>
      <c r="AQ80" s="93" t="str" cm="1">
        <f t="array" ref="AQ80">_xlfn.IFS(COUNTIF(Table14623[[#This Row],[Phrases H]],"*H411*"), 5, TRUE, "")</f>
        <v/>
      </c>
      <c r="AR80" s="94">
        <f t="shared" si="79"/>
        <v>50</v>
      </c>
      <c r="AS80" s="95"/>
      <c r="AT80" s="144">
        <v>10</v>
      </c>
      <c r="AU80" s="97" t="s">
        <v>337</v>
      </c>
      <c r="AV80" s="98">
        <f t="shared" si="67"/>
        <v>5</v>
      </c>
      <c r="AW80" s="99" t="str">
        <f t="shared" si="68"/>
        <v>Très faible production</v>
      </c>
      <c r="AX80" s="95"/>
      <c r="AY80" s="100">
        <f t="shared" si="61"/>
        <v>55</v>
      </c>
      <c r="AZ80" s="17"/>
      <c r="BA80" s="144" t="s">
        <v>1085</v>
      </c>
      <c r="BB80" s="101">
        <f t="shared" si="59"/>
        <v>50</v>
      </c>
      <c r="BC80" s="98" t="str">
        <f t="shared" si="60"/>
        <v>Très mobile</v>
      </c>
      <c r="BD80" s="101" t="s">
        <v>1122</v>
      </c>
      <c r="BE80" s="98" t="str">
        <f t="shared" si="62"/>
        <v>Non mobile</v>
      </c>
      <c r="BF80" s="101" t="s">
        <v>1156</v>
      </c>
      <c r="BG80" s="101" t="s">
        <v>1092</v>
      </c>
      <c r="BH80" s="101" t="s">
        <v>1100</v>
      </c>
      <c r="BI80" s="98" t="str">
        <f t="shared" si="75"/>
        <v>Volatile</v>
      </c>
      <c r="BJ80" s="102" t="s">
        <v>1279</v>
      </c>
      <c r="BK80" s="103" t="s">
        <v>343</v>
      </c>
      <c r="BL80" s="17"/>
      <c r="BM80" s="159" t="str">
        <f t="shared" si="63"/>
        <v>50, Très faible production (5), Très mobile (solubilité), Non mobile (log Koc), Volatile, facilement biodégradable  ,EUROFINS, SERVACO</v>
      </c>
      <c r="BN80" s="17"/>
      <c r="BO80" s="17"/>
      <c r="BP80" s="17"/>
      <c r="BQ80" s="17"/>
      <c r="BR80" s="17"/>
      <c r="BS80" s="17"/>
      <c r="BT80" s="30">
        <v>50</v>
      </c>
      <c r="BU80" s="31" t="s">
        <v>1075</v>
      </c>
      <c r="BV80" s="31" t="s">
        <v>1079</v>
      </c>
      <c r="BW80" s="31" t="s">
        <v>1080</v>
      </c>
      <c r="BX80" s="31" t="s">
        <v>1255</v>
      </c>
      <c r="BY80" s="31" t="s">
        <v>1279</v>
      </c>
      <c r="BZ80" s="32" t="s">
        <v>343</v>
      </c>
      <c r="CA80" s="17"/>
      <c r="CB80" s="105" t="s">
        <v>1263</v>
      </c>
      <c r="CC80" s="106">
        <v>2</v>
      </c>
      <c r="CD80" s="17"/>
      <c r="CE80" s="107">
        <f t="shared" si="69"/>
        <v>59.666666666666664</v>
      </c>
      <c r="CF80" s="108">
        <f t="shared" si="76"/>
        <v>0.75527426160337552</v>
      </c>
      <c r="CG80" s="17"/>
      <c r="CH80" s="110" t="str">
        <f t="shared" si="77"/>
        <v>Catégorie 4</v>
      </c>
      <c r="CI80" s="111" t="str">
        <f t="shared" si="78"/>
        <v/>
      </c>
      <c r="CJ80" s="112" t="str">
        <f t="shared" si="70"/>
        <v/>
      </c>
      <c r="CK80" s="112" t="str">
        <f t="shared" si="71"/>
        <v/>
      </c>
      <c r="CL80" s="113" t="str">
        <f t="shared" si="72"/>
        <v>Top 25%</v>
      </c>
      <c r="CM80" s="113" t="str">
        <f t="shared" si="73"/>
        <v>Top 50%</v>
      </c>
      <c r="CN80" s="114" t="str">
        <f t="shared" si="74"/>
        <v>Top 75%</v>
      </c>
      <c r="CO80" s="17"/>
      <c r="CP80" s="17"/>
      <c r="CQ80" s="17"/>
      <c r="CR80" s="17"/>
      <c r="CS80" s="17"/>
      <c r="CT80" s="17"/>
      <c r="CU80" s="17"/>
      <c r="CV80" s="17"/>
      <c r="CW80" s="17"/>
      <c r="CX80" s="17"/>
      <c r="CY80" s="17"/>
      <c r="CZ80" s="17"/>
      <c r="DA80" s="17"/>
      <c r="DB80" s="17"/>
      <c r="DC80" s="17"/>
      <c r="DD80" s="17"/>
      <c r="DE80" s="17"/>
      <c r="DF80" s="17"/>
      <c r="DG80" s="17"/>
      <c r="DH80" s="17"/>
      <c r="DI80" s="17"/>
      <c r="DJ80" s="17"/>
      <c r="DK80" s="17"/>
      <c r="DL80" s="17"/>
      <c r="DM80" s="17"/>
      <c r="DN80" s="17"/>
      <c r="DO80" s="17"/>
      <c r="DP80" s="17"/>
      <c r="DQ80" s="23"/>
    </row>
    <row r="81" spans="1:121" s="19" customFormat="1" ht="30" customHeight="1" x14ac:dyDescent="0.35">
      <c r="A81" s="4" t="s">
        <v>996</v>
      </c>
      <c r="B81" s="17" t="s">
        <v>1009</v>
      </c>
      <c r="C81" s="17" t="s">
        <v>1010</v>
      </c>
      <c r="D81" s="17" t="s">
        <v>1011</v>
      </c>
      <c r="E81" s="17" t="s">
        <v>1012</v>
      </c>
      <c r="F81" s="17" t="s">
        <v>1013</v>
      </c>
      <c r="G81" s="17" t="s">
        <v>1014</v>
      </c>
      <c r="H81" s="4"/>
      <c r="I81" s="4"/>
      <c r="J81" s="11" t="s">
        <v>1062</v>
      </c>
      <c r="K81" s="11"/>
      <c r="L81" s="11"/>
      <c r="M81" s="11" t="s">
        <v>30</v>
      </c>
      <c r="N81" s="11" t="s">
        <v>30</v>
      </c>
      <c r="O81" s="11" t="s">
        <v>30</v>
      </c>
      <c r="P81" s="11"/>
      <c r="Q81" s="11" t="s">
        <v>30</v>
      </c>
      <c r="R81" s="11" t="s">
        <v>1279</v>
      </c>
      <c r="S81" s="11" t="s">
        <v>30</v>
      </c>
      <c r="T81" s="11" t="s">
        <v>1066</v>
      </c>
      <c r="U81" s="11" t="s">
        <v>40</v>
      </c>
      <c r="V81" s="11" t="s">
        <v>1086</v>
      </c>
      <c r="W81" s="4" t="s">
        <v>1093</v>
      </c>
      <c r="X81" s="4" t="s">
        <v>1101</v>
      </c>
      <c r="Y81" s="4" t="s">
        <v>1112</v>
      </c>
      <c r="Z81" s="4"/>
      <c r="AA81" s="4" t="s">
        <v>1123</v>
      </c>
      <c r="AB81" s="4" t="s">
        <v>1134</v>
      </c>
      <c r="AC81" s="4" t="s">
        <v>1145</v>
      </c>
      <c r="AD81" s="10"/>
      <c r="AE81" s="92" cm="1">
        <f t="array" ref="AE81">_xlfn.IFS(COUNTIF(Table14623[[#This Row],[PBT/ vPvB]],"*X*"), 20, TRUE, "")</f>
        <v>20</v>
      </c>
      <c r="AF81" s="93" cm="1">
        <f t="array" ref="AF81">_xlfn.IFS(COUNTIF(Table14623[[#This Row],[Perturbateur Endocrinien]],"*X*"), 20, TRUE, "")</f>
        <v>20</v>
      </c>
      <c r="AG81" s="93" t="str" cm="1">
        <f t="array" ref="AG81">_xlfn.IFS(COUNTIF(Table14623[[#This Row],[Phrases H]],"*H350*"), 20, TRUE, "")</f>
        <v/>
      </c>
      <c r="AH81" s="93" cm="1">
        <f t="array" ref="AH81">_xlfn.IFS(COUNTIF(Table14623[[#This Row],[Phrases H]],"*H360*"), 20, TRUE, "")</f>
        <v>20</v>
      </c>
      <c r="AI81" s="93" t="str" cm="1">
        <f t="array" ref="AI81">_xlfn.IFS(COUNTIF(Table14623[[#This Row],[Phrases H]],"*H340*"), 20, TRUE, "")</f>
        <v/>
      </c>
      <c r="AJ81" s="93" t="str" cm="1">
        <f t="array" ref="AJ81">_xlfn.IFS(COUNTIF(Table14623[[#This Row],[Phrases H]],"*H351*"), 10, TRUE, "")</f>
        <v/>
      </c>
      <c r="AK81" s="93" t="str" cm="1">
        <f t="array" ref="AK81">_xlfn.IFS(COUNTIF(Table14623[[#This Row],[Phrases H]],"*H361*"), 10, TRUE, "")</f>
        <v/>
      </c>
      <c r="AL81" s="93" t="str" cm="1">
        <f t="array" ref="AL81">_xlfn.IFS(COUNTIF(Table14623[[#This Row],[Phrases H]],"*H362*"), 10, TRUE, "")</f>
        <v/>
      </c>
      <c r="AM81" s="93" t="str" cm="1">
        <f t="array" ref="AM81">_xlfn.IFS(COUNTIF(Table14623[[#This Row],[Phrases H]],"*H341*"), 10, TRUE, "")</f>
        <v/>
      </c>
      <c r="AN81" s="93" t="str" cm="1">
        <f t="array" ref="AN81">_xlfn.IFS(COUNTIF(Table14623[[#This Row],[Phrases H]],"*H372*"), 10, TRUE, "")</f>
        <v/>
      </c>
      <c r="AO81" s="93" t="str" cm="1">
        <f t="array" ref="AO81">_xlfn.IFS(COUNTIF(Table14623[[#This Row],[Phrases H]],"*H410*"), 10, TRUE, "")</f>
        <v/>
      </c>
      <c r="AP81" s="93" t="str" cm="1">
        <f t="array" ref="AP81">_xlfn.IFS(COUNTIF(Table14623[[#This Row],[Phrases H]],"*H373*"), 5, TRUE, "")</f>
        <v/>
      </c>
      <c r="AQ81" s="93" t="str" cm="1">
        <f t="array" ref="AQ81">_xlfn.IFS(COUNTIF(Table14623[[#This Row],[Phrases H]],"*H411*"), 5, TRUE, "")</f>
        <v/>
      </c>
      <c r="AR81" s="94">
        <f t="shared" si="79"/>
        <v>60</v>
      </c>
      <c r="AS81" s="95"/>
      <c r="AT81" s="144">
        <v>1000</v>
      </c>
      <c r="AU81" s="97" t="s">
        <v>337</v>
      </c>
      <c r="AV81" s="98">
        <f t="shared" si="67"/>
        <v>15</v>
      </c>
      <c r="AW81" s="99" t="str">
        <f t="shared" si="68"/>
        <v>Production modérée</v>
      </c>
      <c r="AX81" s="95"/>
      <c r="AY81" s="100">
        <f t="shared" si="61"/>
        <v>75</v>
      </c>
      <c r="AZ81" s="17"/>
      <c r="BA81" s="144" t="s">
        <v>1086</v>
      </c>
      <c r="BB81" s="101">
        <f t="shared" si="59"/>
        <v>50</v>
      </c>
      <c r="BC81" s="98" t="str">
        <f t="shared" si="60"/>
        <v>Très mobile</v>
      </c>
      <c r="BD81" s="101" t="s">
        <v>1123</v>
      </c>
      <c r="BE81" s="98" t="str">
        <f t="shared" si="62"/>
        <v>Non mobile</v>
      </c>
      <c r="BF81" s="101" t="s">
        <v>1157</v>
      </c>
      <c r="BG81" s="101" t="s">
        <v>1093</v>
      </c>
      <c r="BH81" s="101" t="s">
        <v>1101</v>
      </c>
      <c r="BI81" s="98" t="str">
        <f t="shared" si="75"/>
        <v>Volatile</v>
      </c>
      <c r="BJ81" s="102" t="s">
        <v>1279</v>
      </c>
      <c r="BK81" s="103" t="s">
        <v>343</v>
      </c>
      <c r="BL81" s="17"/>
      <c r="BM81" s="159" t="str">
        <f t="shared" si="63"/>
        <v>60, Production modérée (15), Très mobile (solubilité), Non mobile (log Koc), Volatile, facilement biodégradable  ,EUROFINS, SERVACO</v>
      </c>
      <c r="BN81" s="17"/>
      <c r="BO81" s="17"/>
      <c r="BP81" s="17"/>
      <c r="BQ81" s="17"/>
      <c r="BR81" s="17"/>
      <c r="BS81" s="17"/>
      <c r="BT81" s="30">
        <v>60</v>
      </c>
      <c r="BU81" s="31" t="s">
        <v>1074</v>
      </c>
      <c r="BV81" s="31" t="s">
        <v>1079</v>
      </c>
      <c r="BW81" s="31" t="s">
        <v>1080</v>
      </c>
      <c r="BX81" s="31" t="s">
        <v>1255</v>
      </c>
      <c r="BY81" s="31" t="s">
        <v>1279</v>
      </c>
      <c r="BZ81" s="32" t="s">
        <v>343</v>
      </c>
      <c r="CA81" s="17"/>
      <c r="CB81" s="105" t="s">
        <v>1263</v>
      </c>
      <c r="CC81" s="106">
        <v>2</v>
      </c>
      <c r="CD81" s="17"/>
      <c r="CE81" s="107">
        <f t="shared" si="69"/>
        <v>75</v>
      </c>
      <c r="CF81" s="108">
        <f t="shared" si="76"/>
        <v>0.94936708860759489</v>
      </c>
      <c r="CG81" s="17"/>
      <c r="CH81" s="110" t="str">
        <f t="shared" si="77"/>
        <v>Catégorie 5</v>
      </c>
      <c r="CI81" s="111" t="str">
        <f t="shared" si="78"/>
        <v/>
      </c>
      <c r="CJ81" s="112" t="str">
        <f t="shared" si="70"/>
        <v/>
      </c>
      <c r="CK81" s="112" t="str">
        <f t="shared" si="71"/>
        <v/>
      </c>
      <c r="CL81" s="113" t="str">
        <f t="shared" si="72"/>
        <v>Top 25%</v>
      </c>
      <c r="CM81" s="113" t="str">
        <f t="shared" si="73"/>
        <v>Top 50%</v>
      </c>
      <c r="CN81" s="114" t="str">
        <f t="shared" si="74"/>
        <v>Top 75%</v>
      </c>
      <c r="CO81" s="17"/>
      <c r="CP81" s="17"/>
      <c r="CQ81" s="17"/>
      <c r="CR81" s="17"/>
      <c r="CS81" s="17"/>
      <c r="CT81" s="17"/>
      <c r="CU81" s="17"/>
      <c r="CV81" s="17"/>
      <c r="CW81" s="17"/>
      <c r="CX81" s="17"/>
      <c r="CY81" s="17"/>
      <c r="CZ81" s="17"/>
      <c r="DA81" s="17"/>
      <c r="DB81" s="17"/>
      <c r="DC81" s="17"/>
      <c r="DD81" s="17"/>
      <c r="DE81" s="17"/>
      <c r="DF81" s="17"/>
      <c r="DG81" s="17"/>
      <c r="DH81" s="17"/>
      <c r="DI81" s="17"/>
      <c r="DJ81" s="17"/>
      <c r="DK81" s="17"/>
      <c r="DL81" s="17"/>
      <c r="DM81" s="17"/>
      <c r="DN81" s="17"/>
      <c r="DO81" s="17"/>
      <c r="DP81" s="17"/>
    </row>
    <row r="82" spans="1:121" s="19" customFormat="1" ht="30" customHeight="1" x14ac:dyDescent="0.35">
      <c r="A82" s="4" t="s">
        <v>996</v>
      </c>
      <c r="B82" s="17" t="s">
        <v>1015</v>
      </c>
      <c r="C82" s="17" t="s">
        <v>1016</v>
      </c>
      <c r="D82" s="17" t="s">
        <v>1017</v>
      </c>
      <c r="E82" s="17" t="s">
        <v>1018</v>
      </c>
      <c r="F82" s="17" t="s">
        <v>1013</v>
      </c>
      <c r="G82" s="10" t="s">
        <v>1019</v>
      </c>
      <c r="H82" s="4"/>
      <c r="I82" s="4"/>
      <c r="J82" s="11" t="s">
        <v>169</v>
      </c>
      <c r="K82" s="11"/>
      <c r="L82" s="11"/>
      <c r="M82" s="11"/>
      <c r="N82" s="11" t="s">
        <v>30</v>
      </c>
      <c r="O82" s="11" t="s">
        <v>30</v>
      </c>
      <c r="P82" s="11"/>
      <c r="Q82" s="11"/>
      <c r="R82" s="11" t="s">
        <v>1279</v>
      </c>
      <c r="S82" s="11" t="s">
        <v>30</v>
      </c>
      <c r="T82" s="11" t="s">
        <v>325</v>
      </c>
      <c r="U82" s="11" t="s">
        <v>31</v>
      </c>
      <c r="V82" s="12" t="s">
        <v>1087</v>
      </c>
      <c r="W82" s="4" t="s">
        <v>1094</v>
      </c>
      <c r="X82" s="4" t="s">
        <v>1102</v>
      </c>
      <c r="Y82" s="4" t="s">
        <v>1113</v>
      </c>
      <c r="Z82" s="4"/>
      <c r="AA82" s="4" t="s">
        <v>1124</v>
      </c>
      <c r="AB82" s="4" t="s">
        <v>1135</v>
      </c>
      <c r="AC82" s="4" t="s">
        <v>1146</v>
      </c>
      <c r="AD82" s="10"/>
      <c r="AE82" s="92" t="str" cm="1">
        <f t="array" ref="AE82">_xlfn.IFS(COUNTIF(Table14623[[#This Row],[PBT/ vPvB]],"*X*"), 20, TRUE, "")</f>
        <v/>
      </c>
      <c r="AF82" s="93" cm="1">
        <f t="array" ref="AF82">_xlfn.IFS(COUNTIF(Table14623[[#This Row],[Perturbateur Endocrinien]],"*X*"), 20, TRUE, "")</f>
        <v>20</v>
      </c>
      <c r="AG82" s="93" t="str" cm="1">
        <f t="array" ref="AG82">_xlfn.IFS(COUNTIF(Table14623[[#This Row],[Phrases H]],"*H350*"), 20, TRUE, "")</f>
        <v/>
      </c>
      <c r="AH82" s="93" cm="1">
        <f t="array" ref="AH82">_xlfn.IFS(COUNTIF(Table14623[[#This Row],[Phrases H]],"*H360*"), 20, TRUE, "")</f>
        <v>20</v>
      </c>
      <c r="AI82" s="93" t="str" cm="1">
        <f t="array" ref="AI82">_xlfn.IFS(COUNTIF(Table14623[[#This Row],[Phrases H]],"*H340*"), 20, TRUE, "")</f>
        <v/>
      </c>
      <c r="AJ82" s="93" t="str" cm="1">
        <f t="array" ref="AJ82">_xlfn.IFS(COUNTIF(Table14623[[#This Row],[Phrases H]],"*H351*"), 10, TRUE, "")</f>
        <v/>
      </c>
      <c r="AK82" s="93" t="str" cm="1">
        <f t="array" ref="AK82">_xlfn.IFS(COUNTIF(Table14623[[#This Row],[Phrases H]],"*H361*"), 10, TRUE, "")</f>
        <v/>
      </c>
      <c r="AL82" s="93" t="str" cm="1">
        <f t="array" ref="AL82">_xlfn.IFS(COUNTIF(Table14623[[#This Row],[Phrases H]],"*H362*"), 10, TRUE, "")</f>
        <v/>
      </c>
      <c r="AM82" s="93" t="str" cm="1">
        <f t="array" ref="AM82">_xlfn.IFS(COUNTIF(Table14623[[#This Row],[Phrases H]],"*H341*"), 10, TRUE, "")</f>
        <v/>
      </c>
      <c r="AN82" s="93" t="str" cm="1">
        <f t="array" ref="AN82">_xlfn.IFS(COUNTIF(Table14623[[#This Row],[Phrases H]],"*H372*"), 10, TRUE, "")</f>
        <v/>
      </c>
      <c r="AO82" s="93" t="str" cm="1">
        <f t="array" ref="AO82">_xlfn.IFS(COUNTIF(Table14623[[#This Row],[Phrases H]],"*H410*"), 10, TRUE, "")</f>
        <v/>
      </c>
      <c r="AP82" s="93" t="str" cm="1">
        <f t="array" ref="AP82">_xlfn.IFS(COUNTIF(Table14623[[#This Row],[Phrases H]],"*H373*"), 5, TRUE, "")</f>
        <v/>
      </c>
      <c r="AQ82" s="93" t="str" cm="1">
        <f t="array" ref="AQ82">_xlfn.IFS(COUNTIF(Table14623[[#This Row],[Phrases H]],"*H411*"), 5, TRUE, "")</f>
        <v/>
      </c>
      <c r="AR82" s="94">
        <f t="shared" si="79"/>
        <v>40</v>
      </c>
      <c r="AS82" s="95"/>
      <c r="AT82" s="144">
        <v>1</v>
      </c>
      <c r="AU82" s="97" t="s">
        <v>337</v>
      </c>
      <c r="AV82" s="98">
        <f t="shared" si="67"/>
        <v>5</v>
      </c>
      <c r="AW82" s="99" t="str">
        <f t="shared" si="68"/>
        <v>Très faible production</v>
      </c>
      <c r="AX82" s="95"/>
      <c r="AY82" s="100">
        <f t="shared" si="61"/>
        <v>45</v>
      </c>
      <c r="AZ82" s="17"/>
      <c r="BA82" s="144" t="s">
        <v>1087</v>
      </c>
      <c r="BB82" s="101">
        <f t="shared" si="59"/>
        <v>50</v>
      </c>
      <c r="BC82" s="98" t="str">
        <f t="shared" si="60"/>
        <v>Très mobile</v>
      </c>
      <c r="BD82" s="101" t="s">
        <v>1124</v>
      </c>
      <c r="BE82" s="98" t="str">
        <f t="shared" si="62"/>
        <v>Non mobile</v>
      </c>
      <c r="BF82" s="101" t="s">
        <v>1158</v>
      </c>
      <c r="BG82" s="101" t="s">
        <v>1094</v>
      </c>
      <c r="BH82" s="101" t="s">
        <v>1102</v>
      </c>
      <c r="BI82" s="98" t="str">
        <f t="shared" si="75"/>
        <v>Volatile</v>
      </c>
      <c r="BJ82" s="102" t="s">
        <v>1279</v>
      </c>
      <c r="BK82" s="103" t="s">
        <v>343</v>
      </c>
      <c r="BL82" s="17"/>
      <c r="BM82" s="159" t="str">
        <f t="shared" si="63"/>
        <v>40, Très faible production (5), Très mobile (solubilité), Non mobile (log Koc), Volatile, facilement biodégradable  ,EUROFINS, SERVACO</v>
      </c>
      <c r="BN82" s="17"/>
      <c r="BO82" s="17"/>
      <c r="BP82" s="17"/>
      <c r="BQ82" s="17"/>
      <c r="BR82" s="17"/>
      <c r="BS82" s="17"/>
      <c r="BT82" s="30">
        <v>40</v>
      </c>
      <c r="BU82" s="31" t="s">
        <v>1075</v>
      </c>
      <c r="BV82" s="31" t="s">
        <v>1079</v>
      </c>
      <c r="BW82" s="31" t="s">
        <v>1080</v>
      </c>
      <c r="BX82" s="31" t="s">
        <v>1255</v>
      </c>
      <c r="BY82" s="31" t="s">
        <v>1279</v>
      </c>
      <c r="BZ82" s="32" t="s">
        <v>343</v>
      </c>
      <c r="CA82" s="17"/>
      <c r="CB82" s="105" t="s">
        <v>392</v>
      </c>
      <c r="CC82" s="106">
        <v>1</v>
      </c>
      <c r="CD82" s="17"/>
      <c r="CE82" s="107">
        <f t="shared" si="69"/>
        <v>45.333333333333336</v>
      </c>
      <c r="CF82" s="108">
        <f t="shared" si="76"/>
        <v>0.57383966244725737</v>
      </c>
      <c r="CG82" s="17"/>
      <c r="CH82" s="110" t="str">
        <f t="shared" si="77"/>
        <v>Catégorie 3</v>
      </c>
      <c r="CI82" s="111" t="str">
        <f t="shared" si="78"/>
        <v/>
      </c>
      <c r="CJ82" s="112" t="str">
        <f t="shared" si="70"/>
        <v/>
      </c>
      <c r="CK82" s="112" t="str">
        <f t="shared" si="71"/>
        <v/>
      </c>
      <c r="CL82" s="113" t="str">
        <f t="shared" si="72"/>
        <v/>
      </c>
      <c r="CM82" s="113" t="str">
        <f t="shared" si="73"/>
        <v>Top 50%</v>
      </c>
      <c r="CN82" s="114" t="str">
        <f t="shared" si="74"/>
        <v>Top 75%</v>
      </c>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23"/>
    </row>
    <row r="83" spans="1:121" s="19" customFormat="1" ht="30" customHeight="1" x14ac:dyDescent="0.35">
      <c r="A83" s="4" t="s">
        <v>996</v>
      </c>
      <c r="B83" s="17" t="s">
        <v>1020</v>
      </c>
      <c r="C83" s="17" t="s">
        <v>1021</v>
      </c>
      <c r="D83" s="17" t="s">
        <v>1022</v>
      </c>
      <c r="E83" s="17" t="s">
        <v>1023</v>
      </c>
      <c r="F83" s="17" t="s">
        <v>1024</v>
      </c>
      <c r="G83" s="17" t="s">
        <v>1025</v>
      </c>
      <c r="H83" s="4"/>
      <c r="I83" s="4"/>
      <c r="J83" s="11" t="s">
        <v>1062</v>
      </c>
      <c r="K83" s="11"/>
      <c r="L83" s="11"/>
      <c r="M83" s="11" t="s">
        <v>30</v>
      </c>
      <c r="N83" s="11"/>
      <c r="O83" s="11" t="s">
        <v>30</v>
      </c>
      <c r="P83" s="11"/>
      <c r="Q83" s="11"/>
      <c r="R83" s="11" t="s">
        <v>1279</v>
      </c>
      <c r="S83" s="11"/>
      <c r="T83" s="11" t="s">
        <v>33</v>
      </c>
      <c r="U83" s="11" t="s">
        <v>40</v>
      </c>
      <c r="V83" s="11">
        <v>4000</v>
      </c>
      <c r="W83" s="4" t="s">
        <v>1095</v>
      </c>
      <c r="X83" s="4" t="s">
        <v>1103</v>
      </c>
      <c r="Y83" s="4" t="s">
        <v>1114</v>
      </c>
      <c r="Z83" s="4"/>
      <c r="AA83" s="4" t="s">
        <v>1125</v>
      </c>
      <c r="AB83" s="4" t="s">
        <v>1136</v>
      </c>
      <c r="AC83" s="4" t="s">
        <v>1147</v>
      </c>
      <c r="AD83" s="10"/>
      <c r="AE83" s="92" t="str" cm="1">
        <f t="array" ref="AE83">_xlfn.IFS(COUNTIF(Table14623[[#This Row],[PBT/ vPvB]],"*X*"), 20, TRUE, "")</f>
        <v/>
      </c>
      <c r="AF83" s="93" t="str" cm="1">
        <f t="array" ref="AF83">_xlfn.IFS(COUNTIF(Table14623[[#This Row],[Perturbateur Endocrinien]],"*X*"), 20, TRUE, "")</f>
        <v/>
      </c>
      <c r="AG83" s="93" t="str" cm="1">
        <f t="array" ref="AG83">_xlfn.IFS(COUNTIF(Table14623[[#This Row],[Phrases H]],"*H350*"), 20, TRUE, "")</f>
        <v/>
      </c>
      <c r="AH83" s="93" t="str" cm="1">
        <f t="array" ref="AH83">_xlfn.IFS(COUNTIF(Table14623[[#This Row],[Phrases H]],"*H360*"), 20, TRUE, "")</f>
        <v/>
      </c>
      <c r="AI83" s="93" t="str" cm="1">
        <f t="array" ref="AI83">_xlfn.IFS(COUNTIF(Table14623[[#This Row],[Phrases H]],"*H340*"), 20, TRUE, "")</f>
        <v/>
      </c>
      <c r="AJ83" s="93" t="str" cm="1">
        <f t="array" ref="AJ83">_xlfn.IFS(COUNTIF(Table14623[[#This Row],[Phrases H]],"*H351*"), 10, TRUE, "")</f>
        <v/>
      </c>
      <c r="AK83" s="93" t="str" cm="1">
        <f t="array" ref="AK83">_xlfn.IFS(COUNTIF(Table14623[[#This Row],[Phrases H]],"*H361*"), 10, TRUE, "")</f>
        <v/>
      </c>
      <c r="AL83" s="93" t="str" cm="1">
        <f t="array" ref="AL83">_xlfn.IFS(COUNTIF(Table14623[[#This Row],[Phrases H]],"*H362*"), 10, TRUE, "")</f>
        <v/>
      </c>
      <c r="AM83" s="93" t="str" cm="1">
        <f t="array" ref="AM83">_xlfn.IFS(COUNTIF(Table14623[[#This Row],[Phrases H]],"*H341*"), 10, TRUE, "")</f>
        <v/>
      </c>
      <c r="AN83" s="93" t="str" cm="1">
        <f t="array" ref="AN83">_xlfn.IFS(COUNTIF(Table14623[[#This Row],[Phrases H]],"*H372*"), 10, TRUE, "")</f>
        <v/>
      </c>
      <c r="AO83" s="93" t="str" cm="1">
        <f t="array" ref="AO83">_xlfn.IFS(COUNTIF(Table14623[[#This Row],[Phrases H]],"*H410*"), 10, TRUE, "")</f>
        <v/>
      </c>
      <c r="AP83" s="93" t="str" cm="1">
        <f t="array" ref="AP83">_xlfn.IFS(COUNTIF(Table14623[[#This Row],[Phrases H]],"*H373*"), 5, TRUE, "")</f>
        <v/>
      </c>
      <c r="AQ83" s="93" t="str" cm="1">
        <f t="array" ref="AQ83">_xlfn.IFS(COUNTIF(Table14623[[#This Row],[Phrases H]],"*H411*"), 5, TRUE, "")</f>
        <v/>
      </c>
      <c r="AR83" s="94">
        <f t="shared" si="79"/>
        <v>0</v>
      </c>
      <c r="AS83" s="95"/>
      <c r="AT83" s="144">
        <v>1000</v>
      </c>
      <c r="AU83" s="97" t="s">
        <v>337</v>
      </c>
      <c r="AV83" s="98">
        <f t="shared" si="67"/>
        <v>15</v>
      </c>
      <c r="AW83" s="99" t="str">
        <f t="shared" si="68"/>
        <v>Production modérée</v>
      </c>
      <c r="AX83" s="95"/>
      <c r="AY83" s="100">
        <f t="shared" si="61"/>
        <v>15</v>
      </c>
      <c r="AZ83" s="17"/>
      <c r="BA83" s="144">
        <v>4000</v>
      </c>
      <c r="BB83" s="101">
        <f t="shared" si="59"/>
        <v>40</v>
      </c>
      <c r="BC83" s="98" t="str">
        <f t="shared" si="60"/>
        <v>Mobile</v>
      </c>
      <c r="BD83" s="101" t="s">
        <v>1125</v>
      </c>
      <c r="BE83" s="98" t="str">
        <f t="shared" si="62"/>
        <v>Non mobile</v>
      </c>
      <c r="BF83" s="101" t="s">
        <v>1159</v>
      </c>
      <c r="BG83" s="101" t="s">
        <v>1095</v>
      </c>
      <c r="BH83" s="101" t="s">
        <v>1103</v>
      </c>
      <c r="BI83" s="98" t="str">
        <f t="shared" si="75"/>
        <v>Volatile</v>
      </c>
      <c r="BJ83" s="102" t="s">
        <v>1279</v>
      </c>
      <c r="BK83" s="103" t="s">
        <v>343</v>
      </c>
      <c r="BL83" s="17"/>
      <c r="BM83" s="159" t="str">
        <f t="shared" si="63"/>
        <v>0, Production modérée (15), Mobile (solubilité), Non mobile (log Koc), Volatile, facilement biodégradable  ,EUROFINS, SERVACO</v>
      </c>
      <c r="BN83" s="17"/>
      <c r="BO83" s="17"/>
      <c r="BP83" s="17"/>
      <c r="BQ83" s="17"/>
      <c r="BR83" s="17"/>
      <c r="BS83" s="17"/>
      <c r="BT83" s="30">
        <v>0</v>
      </c>
      <c r="BU83" s="31" t="s">
        <v>1074</v>
      </c>
      <c r="BV83" s="31" t="s">
        <v>1071</v>
      </c>
      <c r="BW83" s="31" t="s">
        <v>1080</v>
      </c>
      <c r="BX83" s="31" t="s">
        <v>1255</v>
      </c>
      <c r="BY83" s="31" t="s">
        <v>1279</v>
      </c>
      <c r="BZ83" s="32" t="s">
        <v>343</v>
      </c>
      <c r="CA83" s="17"/>
      <c r="CB83" s="105" t="s">
        <v>1263</v>
      </c>
      <c r="CC83" s="106">
        <v>2</v>
      </c>
      <c r="CD83" s="17"/>
      <c r="CE83" s="107">
        <f t="shared" si="69"/>
        <v>19</v>
      </c>
      <c r="CF83" s="108">
        <f t="shared" si="76"/>
        <v>0.24050632911392406</v>
      </c>
      <c r="CG83" s="17"/>
      <c r="CH83" s="110" t="str">
        <f t="shared" si="77"/>
        <v>Catégorie 2</v>
      </c>
      <c r="CI83" s="111" t="str">
        <f t="shared" si="78"/>
        <v/>
      </c>
      <c r="CJ83" s="112" t="str">
        <f t="shared" si="70"/>
        <v/>
      </c>
      <c r="CK83" s="112" t="str">
        <f t="shared" si="71"/>
        <v/>
      </c>
      <c r="CL83" s="113" t="str">
        <f t="shared" si="72"/>
        <v/>
      </c>
      <c r="CM83" s="113" t="str">
        <f t="shared" si="73"/>
        <v/>
      </c>
      <c r="CN83" s="114" t="str">
        <f t="shared" si="74"/>
        <v/>
      </c>
      <c r="CO83" s="17"/>
      <c r="CP83" s="17"/>
      <c r="CQ83" s="17"/>
      <c r="CR83" s="17"/>
      <c r="CS83" s="17"/>
      <c r="CT83" s="17"/>
      <c r="CU83" s="17"/>
      <c r="CV83" s="17"/>
      <c r="CW83" s="17"/>
      <c r="CX83" s="17"/>
      <c r="CY83" s="17"/>
      <c r="CZ83" s="17"/>
      <c r="DA83" s="17"/>
      <c r="DB83" s="17"/>
      <c r="DC83" s="17"/>
      <c r="DD83" s="17"/>
      <c r="DE83" s="17"/>
      <c r="DF83" s="17"/>
      <c r="DG83" s="17"/>
      <c r="DH83" s="17"/>
      <c r="DI83" s="17"/>
      <c r="DJ83" s="17"/>
      <c r="DK83" s="17"/>
      <c r="DL83" s="17"/>
      <c r="DM83" s="17"/>
      <c r="DN83" s="17"/>
      <c r="DO83" s="17"/>
      <c r="DP83" s="17"/>
    </row>
    <row r="84" spans="1:121" s="19" customFormat="1" ht="30" customHeight="1" x14ac:dyDescent="0.35">
      <c r="A84" s="4" t="s">
        <v>996</v>
      </c>
      <c r="B84" s="17" t="s">
        <v>1026</v>
      </c>
      <c r="C84" s="17" t="s">
        <v>1027</v>
      </c>
      <c r="D84" s="17" t="s">
        <v>1028</v>
      </c>
      <c r="E84" s="17" t="s">
        <v>1029</v>
      </c>
      <c r="F84" s="17" t="s">
        <v>1030</v>
      </c>
      <c r="G84" s="17" t="s">
        <v>1031</v>
      </c>
      <c r="H84" s="4"/>
      <c r="I84" s="4"/>
      <c r="J84" s="11" t="s">
        <v>1062</v>
      </c>
      <c r="K84" s="11"/>
      <c r="L84" s="11"/>
      <c r="M84" s="11" t="s">
        <v>30</v>
      </c>
      <c r="N84" s="11"/>
      <c r="O84" s="11" t="s">
        <v>30</v>
      </c>
      <c r="P84" s="11"/>
      <c r="Q84" s="11"/>
      <c r="R84" s="11" t="s">
        <v>1279</v>
      </c>
      <c r="S84" s="11" t="s">
        <v>30</v>
      </c>
      <c r="T84" s="11" t="s">
        <v>33</v>
      </c>
      <c r="U84" s="11" t="s">
        <v>40</v>
      </c>
      <c r="V84" s="11">
        <v>932</v>
      </c>
      <c r="W84" s="4" t="s">
        <v>1089</v>
      </c>
      <c r="X84" s="4" t="s">
        <v>1104</v>
      </c>
      <c r="Y84" s="4" t="s">
        <v>1115</v>
      </c>
      <c r="Z84" s="4"/>
      <c r="AA84" s="4" t="s">
        <v>1126</v>
      </c>
      <c r="AB84" s="4" t="s">
        <v>1137</v>
      </c>
      <c r="AC84" s="4" t="s">
        <v>1148</v>
      </c>
      <c r="AD84" s="10"/>
      <c r="AE84" s="92" t="str" cm="1">
        <f t="array" ref="AE84">_xlfn.IFS(COUNTIF(Table14623[[#This Row],[PBT/ vPvB]],"*X*"), 20, TRUE, "")</f>
        <v/>
      </c>
      <c r="AF84" s="93" cm="1">
        <f t="array" ref="AF84">_xlfn.IFS(COUNTIF(Table14623[[#This Row],[Perturbateur Endocrinien]],"*X*"), 20, TRUE, "")</f>
        <v>20</v>
      </c>
      <c r="AG84" s="93" t="str" cm="1">
        <f t="array" ref="AG84">_xlfn.IFS(COUNTIF(Table14623[[#This Row],[Phrases H]],"*H350*"), 20, TRUE, "")</f>
        <v/>
      </c>
      <c r="AH84" s="93" t="str" cm="1">
        <f t="array" ref="AH84">_xlfn.IFS(COUNTIF(Table14623[[#This Row],[Phrases H]],"*H360*"), 20, TRUE, "")</f>
        <v/>
      </c>
      <c r="AI84" s="93" t="str" cm="1">
        <f t="array" ref="AI84">_xlfn.IFS(COUNTIF(Table14623[[#This Row],[Phrases H]],"*H340*"), 20, TRUE, "")</f>
        <v/>
      </c>
      <c r="AJ84" s="93" t="str" cm="1">
        <f t="array" ref="AJ84">_xlfn.IFS(COUNTIF(Table14623[[#This Row],[Phrases H]],"*H351*"), 10, TRUE, "")</f>
        <v/>
      </c>
      <c r="AK84" s="93" t="str" cm="1">
        <f t="array" ref="AK84">_xlfn.IFS(COUNTIF(Table14623[[#This Row],[Phrases H]],"*H361*"), 10, TRUE, "")</f>
        <v/>
      </c>
      <c r="AL84" s="93" t="str" cm="1">
        <f t="array" ref="AL84">_xlfn.IFS(COUNTIF(Table14623[[#This Row],[Phrases H]],"*H362*"), 10, TRUE, "")</f>
        <v/>
      </c>
      <c r="AM84" s="93" t="str" cm="1">
        <f t="array" ref="AM84">_xlfn.IFS(COUNTIF(Table14623[[#This Row],[Phrases H]],"*H341*"), 10, TRUE, "")</f>
        <v/>
      </c>
      <c r="AN84" s="93" t="str" cm="1">
        <f t="array" ref="AN84">_xlfn.IFS(COUNTIF(Table14623[[#This Row],[Phrases H]],"*H372*"), 10, TRUE, "")</f>
        <v/>
      </c>
      <c r="AO84" s="93" t="str" cm="1">
        <f t="array" ref="AO84">_xlfn.IFS(COUNTIF(Table14623[[#This Row],[Phrases H]],"*H410*"), 10, TRUE, "")</f>
        <v/>
      </c>
      <c r="AP84" s="93" t="str" cm="1">
        <f t="array" ref="AP84">_xlfn.IFS(COUNTIF(Table14623[[#This Row],[Phrases H]],"*H373*"), 5, TRUE, "")</f>
        <v/>
      </c>
      <c r="AQ84" s="93" t="str" cm="1">
        <f t="array" ref="AQ84">_xlfn.IFS(COUNTIF(Table14623[[#This Row],[Phrases H]],"*H411*"), 5, TRUE, "")</f>
        <v/>
      </c>
      <c r="AR84" s="94">
        <f t="shared" si="79"/>
        <v>20</v>
      </c>
      <c r="AS84" s="95"/>
      <c r="AT84" s="144">
        <v>1000</v>
      </c>
      <c r="AU84" s="97" t="s">
        <v>337</v>
      </c>
      <c r="AV84" s="98">
        <f t="shared" si="67"/>
        <v>15</v>
      </c>
      <c r="AW84" s="99" t="str">
        <f t="shared" si="68"/>
        <v>Production modérée</v>
      </c>
      <c r="AX84" s="95"/>
      <c r="AY84" s="100">
        <f t="shared" si="61"/>
        <v>35</v>
      </c>
      <c r="AZ84" s="17"/>
      <c r="BA84" s="144">
        <v>932</v>
      </c>
      <c r="BB84" s="101">
        <f t="shared" si="59"/>
        <v>30</v>
      </c>
      <c r="BC84" s="98" t="str">
        <f t="shared" si="60"/>
        <v>Moyennement mobile</v>
      </c>
      <c r="BD84" s="101" t="s">
        <v>1126</v>
      </c>
      <c r="BE84" s="98" t="str">
        <f t="shared" si="62"/>
        <v>Non mobile</v>
      </c>
      <c r="BF84" s="101" t="s">
        <v>1160</v>
      </c>
      <c r="BG84" s="101" t="s">
        <v>1089</v>
      </c>
      <c r="BH84" s="101" t="s">
        <v>1104</v>
      </c>
      <c r="BI84" s="98" t="str">
        <f t="shared" si="75"/>
        <v>Volatile</v>
      </c>
      <c r="BJ84" s="102" t="s">
        <v>1279</v>
      </c>
      <c r="BK84" s="103" t="s">
        <v>343</v>
      </c>
      <c r="BL84" s="17"/>
      <c r="BM84" s="159" t="str">
        <f t="shared" si="63"/>
        <v>20, Production modérée (15), Moyennement mobile (solubilité), Non mobile (log Koc), Volatile, facilement biodégradable  ,EUROFINS, SERVACO</v>
      </c>
      <c r="BN84" s="17"/>
      <c r="BO84" s="17"/>
      <c r="BP84" s="17"/>
      <c r="BQ84" s="17"/>
      <c r="BR84" s="17"/>
      <c r="BS84" s="17"/>
      <c r="BT84" s="30">
        <v>20</v>
      </c>
      <c r="BU84" s="31" t="s">
        <v>1074</v>
      </c>
      <c r="BV84" s="31" t="s">
        <v>1076</v>
      </c>
      <c r="BW84" s="31" t="s">
        <v>1080</v>
      </c>
      <c r="BX84" s="31" t="s">
        <v>1255</v>
      </c>
      <c r="BY84" s="31" t="s">
        <v>1279</v>
      </c>
      <c r="BZ84" s="32" t="s">
        <v>343</v>
      </c>
      <c r="CA84" s="17"/>
      <c r="CB84" s="105" t="s">
        <v>1263</v>
      </c>
      <c r="CC84" s="106">
        <v>2</v>
      </c>
      <c r="CD84" s="17"/>
      <c r="CE84" s="107">
        <f t="shared" si="69"/>
        <v>37.666666666666671</v>
      </c>
      <c r="CF84" s="108">
        <f t="shared" si="76"/>
        <v>0.47679324894514774</v>
      </c>
      <c r="CG84" s="17"/>
      <c r="CH84" s="110" t="str">
        <f t="shared" si="77"/>
        <v>Catégorie 3</v>
      </c>
      <c r="CI84" s="111" t="str">
        <f t="shared" si="78"/>
        <v/>
      </c>
      <c r="CJ84" s="112" t="str">
        <f t="shared" si="70"/>
        <v/>
      </c>
      <c r="CK84" s="112" t="str">
        <f t="shared" si="71"/>
        <v/>
      </c>
      <c r="CL84" s="113" t="str">
        <f t="shared" si="72"/>
        <v/>
      </c>
      <c r="CM84" s="113" t="str">
        <f t="shared" si="73"/>
        <v/>
      </c>
      <c r="CN84" s="114" t="str">
        <f t="shared" si="74"/>
        <v>Top 75%</v>
      </c>
      <c r="CO84" s="17"/>
      <c r="CP84" s="17"/>
      <c r="CQ84" s="17"/>
      <c r="CR84" s="17"/>
      <c r="CS84" s="17"/>
      <c r="CT84" s="17"/>
      <c r="CU84" s="17"/>
      <c r="CV84" s="17"/>
      <c r="CW84" s="17"/>
      <c r="CX84" s="17"/>
      <c r="CY84" s="17"/>
      <c r="CZ84" s="17"/>
      <c r="DA84" s="17"/>
      <c r="DB84" s="17"/>
      <c r="DC84" s="17"/>
      <c r="DD84" s="17"/>
      <c r="DE84" s="17"/>
      <c r="DF84" s="17"/>
      <c r="DG84" s="17"/>
      <c r="DH84" s="17"/>
      <c r="DI84" s="17"/>
      <c r="DJ84" s="17"/>
      <c r="DK84" s="17"/>
      <c r="DL84" s="17"/>
      <c r="DM84" s="17"/>
      <c r="DN84" s="17"/>
      <c r="DO84" s="17"/>
      <c r="DP84" s="17"/>
      <c r="DQ84" s="23"/>
    </row>
    <row r="85" spans="1:121" s="19" customFormat="1" ht="30" customHeight="1" x14ac:dyDescent="0.35">
      <c r="A85" s="4" t="s">
        <v>996</v>
      </c>
      <c r="B85" s="17" t="s">
        <v>1032</v>
      </c>
      <c r="C85" s="17" t="s">
        <v>1033</v>
      </c>
      <c r="D85" s="17" t="s">
        <v>1034</v>
      </c>
      <c r="E85" s="17" t="s">
        <v>1035</v>
      </c>
      <c r="F85" s="17" t="s">
        <v>1001</v>
      </c>
      <c r="G85" s="10" t="s">
        <v>1036</v>
      </c>
      <c r="H85" s="4"/>
      <c r="I85" s="4"/>
      <c r="J85" s="11" t="s">
        <v>31</v>
      </c>
      <c r="K85" s="11"/>
      <c r="L85" s="11"/>
      <c r="M85" s="11" t="s">
        <v>30</v>
      </c>
      <c r="N85" s="11" t="s">
        <v>30</v>
      </c>
      <c r="O85" s="11" t="s">
        <v>30</v>
      </c>
      <c r="P85" s="11"/>
      <c r="Q85" s="11"/>
      <c r="R85" s="11" t="s">
        <v>31</v>
      </c>
      <c r="S85" s="11"/>
      <c r="T85" s="11" t="s">
        <v>33</v>
      </c>
      <c r="U85" s="11" t="s">
        <v>31</v>
      </c>
      <c r="V85" s="12" t="s">
        <v>1088</v>
      </c>
      <c r="W85" s="4" t="s">
        <v>1096</v>
      </c>
      <c r="X85" s="4" t="s">
        <v>1105</v>
      </c>
      <c r="Y85" s="4" t="s">
        <v>1116</v>
      </c>
      <c r="Z85" s="4"/>
      <c r="AA85" s="4" t="s">
        <v>1127</v>
      </c>
      <c r="AB85" s="4" t="s">
        <v>1138</v>
      </c>
      <c r="AC85" s="4" t="s">
        <v>1149</v>
      </c>
      <c r="AD85" s="10"/>
      <c r="AE85" s="92" t="str" cm="1">
        <f t="array" ref="AE85">_xlfn.IFS(COUNTIF(Table14623[[#This Row],[PBT/ vPvB]],"*X*"), 20, TRUE, "")</f>
        <v/>
      </c>
      <c r="AF85" s="93" t="str" cm="1">
        <f t="array" ref="AF85">_xlfn.IFS(COUNTIF(Table14623[[#This Row],[Perturbateur Endocrinien]],"*X*"), 20, TRUE, "")</f>
        <v/>
      </c>
      <c r="AG85" s="93" t="str" cm="1">
        <f t="array" ref="AG85">_xlfn.IFS(COUNTIF(Table14623[[#This Row],[Phrases H]],"*H350*"), 20, TRUE, "")</f>
        <v/>
      </c>
      <c r="AH85" s="93" t="str" cm="1">
        <f t="array" ref="AH85">_xlfn.IFS(COUNTIF(Table14623[[#This Row],[Phrases H]],"*H360*"), 20, TRUE, "")</f>
        <v/>
      </c>
      <c r="AI85" s="93" t="str" cm="1">
        <f t="array" ref="AI85">_xlfn.IFS(COUNTIF(Table14623[[#This Row],[Phrases H]],"*H340*"), 20, TRUE, "")</f>
        <v/>
      </c>
      <c r="AJ85" s="93" t="str" cm="1">
        <f t="array" ref="AJ85">_xlfn.IFS(COUNTIF(Table14623[[#This Row],[Phrases H]],"*H351*"), 10, TRUE, "")</f>
        <v/>
      </c>
      <c r="AK85" s="93" t="str" cm="1">
        <f t="array" ref="AK85">_xlfn.IFS(COUNTIF(Table14623[[#This Row],[Phrases H]],"*H361*"), 10, TRUE, "")</f>
        <v/>
      </c>
      <c r="AL85" s="93" t="str" cm="1">
        <f t="array" ref="AL85">_xlfn.IFS(COUNTIF(Table14623[[#This Row],[Phrases H]],"*H362*"), 10, TRUE, "")</f>
        <v/>
      </c>
      <c r="AM85" s="93" t="str" cm="1">
        <f t="array" ref="AM85">_xlfn.IFS(COUNTIF(Table14623[[#This Row],[Phrases H]],"*H341*"), 10, TRUE, "")</f>
        <v/>
      </c>
      <c r="AN85" s="93" t="str" cm="1">
        <f t="array" ref="AN85">_xlfn.IFS(COUNTIF(Table14623[[#This Row],[Phrases H]],"*H372*"), 10, TRUE, "")</f>
        <v/>
      </c>
      <c r="AO85" s="93" t="str" cm="1">
        <f t="array" ref="AO85">_xlfn.IFS(COUNTIF(Table14623[[#This Row],[Phrases H]],"*H410*"), 10, TRUE, "")</f>
        <v/>
      </c>
      <c r="AP85" s="93" t="str" cm="1">
        <f t="array" ref="AP85">_xlfn.IFS(COUNTIF(Table14623[[#This Row],[Phrases H]],"*H373*"), 5, TRUE, "")</f>
        <v/>
      </c>
      <c r="AQ85" s="93" t="str" cm="1">
        <f t="array" ref="AQ85">_xlfn.IFS(COUNTIF(Table14623[[#This Row],[Phrases H]],"*H411*"), 5, TRUE, "")</f>
        <v/>
      </c>
      <c r="AR85" s="94">
        <f t="shared" si="79"/>
        <v>0</v>
      </c>
      <c r="AS85" s="95"/>
      <c r="AT85" s="144" t="s">
        <v>31</v>
      </c>
      <c r="AU85" s="97" t="s">
        <v>337</v>
      </c>
      <c r="AV85" s="98">
        <f t="shared" si="67"/>
        <v>0</v>
      </c>
      <c r="AW85" s="99" t="str">
        <f t="shared" si="68"/>
        <v>N/A</v>
      </c>
      <c r="AX85" s="95"/>
      <c r="AY85" s="100">
        <f t="shared" si="61"/>
        <v>0</v>
      </c>
      <c r="AZ85" s="17"/>
      <c r="BA85" s="144" t="s">
        <v>1088</v>
      </c>
      <c r="BB85" s="101">
        <f t="shared" si="59"/>
        <v>50</v>
      </c>
      <c r="BC85" s="98" t="str">
        <f t="shared" si="60"/>
        <v>Très mobile</v>
      </c>
      <c r="BD85" s="101" t="s">
        <v>1127</v>
      </c>
      <c r="BE85" s="98" t="str">
        <f t="shared" si="62"/>
        <v>Non mobile</v>
      </c>
      <c r="BF85" s="101" t="s">
        <v>1161</v>
      </c>
      <c r="BG85" s="101" t="s">
        <v>1096</v>
      </c>
      <c r="BH85" s="101" t="s">
        <v>1105</v>
      </c>
      <c r="BI85" s="98" t="str">
        <f t="shared" si="75"/>
        <v>Volatile</v>
      </c>
      <c r="BJ85" s="102" t="s">
        <v>31</v>
      </c>
      <c r="BK85" s="103" t="s">
        <v>343</v>
      </c>
      <c r="BL85" s="17"/>
      <c r="BM85" s="159" t="str">
        <f t="shared" si="63"/>
        <v>0, N/A (0), Très mobile (solubilité), Non mobile (log Koc), Volatile, N/A,EUROFINS, SERVACO</v>
      </c>
      <c r="BN85" s="17"/>
      <c r="BO85" s="17"/>
      <c r="BP85" s="17"/>
      <c r="BQ85" s="17"/>
      <c r="BR85" s="17"/>
      <c r="BS85" s="17"/>
      <c r="BT85" s="30">
        <v>0</v>
      </c>
      <c r="BU85" s="31" t="s">
        <v>31</v>
      </c>
      <c r="BV85" s="31" t="s">
        <v>1079</v>
      </c>
      <c r="BW85" s="31" t="s">
        <v>1080</v>
      </c>
      <c r="BX85" s="31" t="s">
        <v>1255</v>
      </c>
      <c r="BY85" s="31" t="s">
        <v>31</v>
      </c>
      <c r="BZ85" s="32" t="s">
        <v>343</v>
      </c>
      <c r="CA85" s="17"/>
      <c r="CB85" s="105" t="s">
        <v>1263</v>
      </c>
      <c r="CC85" s="106">
        <v>2</v>
      </c>
      <c r="CD85" s="17"/>
      <c r="CE85" s="107">
        <f t="shared" si="69"/>
        <v>10</v>
      </c>
      <c r="CF85" s="108">
        <f t="shared" si="76"/>
        <v>0.12658227848101267</v>
      </c>
      <c r="CG85" s="17"/>
      <c r="CH85" s="110" t="str">
        <f t="shared" si="77"/>
        <v>Catégorie 1</v>
      </c>
      <c r="CI85" s="111" t="str">
        <f t="shared" si="78"/>
        <v/>
      </c>
      <c r="CJ85" s="112" t="str">
        <f t="shared" si="70"/>
        <v/>
      </c>
      <c r="CK85" s="112" t="str">
        <f t="shared" si="71"/>
        <v/>
      </c>
      <c r="CL85" s="113" t="str">
        <f t="shared" si="72"/>
        <v/>
      </c>
      <c r="CM85" s="113" t="str">
        <f t="shared" si="73"/>
        <v/>
      </c>
      <c r="CN85" s="114" t="str">
        <f t="shared" si="74"/>
        <v/>
      </c>
      <c r="CO85" s="17"/>
      <c r="CP85" s="17"/>
      <c r="CQ85" s="17"/>
      <c r="CR85" s="17"/>
      <c r="CS85" s="17"/>
      <c r="CT85" s="17"/>
      <c r="CU85" s="17"/>
      <c r="CV85" s="17"/>
      <c r="CW85" s="17"/>
      <c r="CX85" s="17"/>
      <c r="CY85" s="17"/>
      <c r="CZ85" s="17"/>
      <c r="DA85" s="17"/>
      <c r="DB85" s="17"/>
      <c r="DC85" s="17"/>
      <c r="DD85" s="17"/>
      <c r="DE85" s="17"/>
      <c r="DF85" s="17"/>
      <c r="DG85" s="17"/>
      <c r="DH85" s="17"/>
      <c r="DI85" s="17"/>
      <c r="DJ85" s="17"/>
      <c r="DK85" s="17"/>
      <c r="DL85" s="17"/>
      <c r="DM85" s="17"/>
      <c r="DN85" s="17"/>
      <c r="DO85" s="17"/>
      <c r="DP85" s="17"/>
    </row>
    <row r="86" spans="1:121" s="19" customFormat="1" ht="30" customHeight="1" x14ac:dyDescent="0.35">
      <c r="A86" s="4" t="s">
        <v>996</v>
      </c>
      <c r="B86" s="17" t="s">
        <v>1037</v>
      </c>
      <c r="C86" s="17" t="s">
        <v>1038</v>
      </c>
      <c r="D86" s="17" t="s">
        <v>1039</v>
      </c>
      <c r="E86" s="17" t="s">
        <v>1040</v>
      </c>
      <c r="F86" s="17" t="s">
        <v>1041</v>
      </c>
      <c r="G86" s="10" t="s">
        <v>1042</v>
      </c>
      <c r="H86" s="4"/>
      <c r="I86" s="4"/>
      <c r="J86" s="11" t="s">
        <v>29</v>
      </c>
      <c r="K86" s="11"/>
      <c r="L86" s="11"/>
      <c r="M86" s="11"/>
      <c r="N86" s="11" t="s">
        <v>30</v>
      </c>
      <c r="O86" s="11"/>
      <c r="P86" s="11"/>
      <c r="Q86" s="11"/>
      <c r="R86" s="11" t="s">
        <v>1274</v>
      </c>
      <c r="S86" s="11" t="s">
        <v>30</v>
      </c>
      <c r="T86" s="11" t="s">
        <v>1067</v>
      </c>
      <c r="U86" s="11" t="s">
        <v>31</v>
      </c>
      <c r="V86" s="11">
        <v>1015</v>
      </c>
      <c r="W86" s="4">
        <v>0</v>
      </c>
      <c r="X86" s="4" t="s">
        <v>1106</v>
      </c>
      <c r="Y86" s="4" t="s">
        <v>1117</v>
      </c>
      <c r="Z86" s="4"/>
      <c r="AA86" s="4" t="s">
        <v>1128</v>
      </c>
      <c r="AB86" s="4" t="s">
        <v>1139</v>
      </c>
      <c r="AC86" s="4" t="s">
        <v>1150</v>
      </c>
      <c r="AD86" s="10"/>
      <c r="AE86" s="92" t="str" cm="1">
        <f t="array" ref="AE86">_xlfn.IFS(COUNTIF(Table14623[[#This Row],[PBT/ vPvB]],"*X*"), 20, TRUE, "")</f>
        <v/>
      </c>
      <c r="AF86" s="93" cm="1">
        <f t="array" ref="AF86">_xlfn.IFS(COUNTIF(Table14623[[#This Row],[Perturbateur Endocrinien]],"*X*"), 20, TRUE, "")</f>
        <v>20</v>
      </c>
      <c r="AG86" s="93" t="str" cm="1">
        <f t="array" ref="AG86">_xlfn.IFS(COUNTIF(Table14623[[#This Row],[Phrases H]],"*H350*"), 20, TRUE, "")</f>
        <v/>
      </c>
      <c r="AH86" s="93" cm="1">
        <f t="array" ref="AH86">_xlfn.IFS(COUNTIF(Table14623[[#This Row],[Phrases H]],"*H360*"), 20, TRUE, "")</f>
        <v>20</v>
      </c>
      <c r="AI86" s="93" t="str" cm="1">
        <f t="array" ref="AI86">_xlfn.IFS(COUNTIF(Table14623[[#This Row],[Phrases H]],"*H340*"), 20, TRUE, "")</f>
        <v/>
      </c>
      <c r="AJ86" s="93" t="str" cm="1">
        <f t="array" ref="AJ86">_xlfn.IFS(COUNTIF(Table14623[[#This Row],[Phrases H]],"*H351*"), 10, TRUE, "")</f>
        <v/>
      </c>
      <c r="AK86" s="93" t="str" cm="1">
        <f t="array" ref="AK86">_xlfn.IFS(COUNTIF(Table14623[[#This Row],[Phrases H]],"*H361*"), 10, TRUE, "")</f>
        <v/>
      </c>
      <c r="AL86" s="93" t="str" cm="1">
        <f t="array" ref="AL86">_xlfn.IFS(COUNTIF(Table14623[[#This Row],[Phrases H]],"*H362*"), 10, TRUE, "")</f>
        <v/>
      </c>
      <c r="AM86" s="93" t="str" cm="1">
        <f t="array" ref="AM86">_xlfn.IFS(COUNTIF(Table14623[[#This Row],[Phrases H]],"*H341*"), 10, TRUE, "")</f>
        <v/>
      </c>
      <c r="AN86" s="93" t="str" cm="1">
        <f t="array" ref="AN86">_xlfn.IFS(COUNTIF(Table14623[[#This Row],[Phrases H]],"*H372*"), 10, TRUE, "")</f>
        <v/>
      </c>
      <c r="AO86" s="93" t="str" cm="1">
        <f t="array" ref="AO86">_xlfn.IFS(COUNTIF(Table14623[[#This Row],[Phrases H]],"*H410*"), 10, TRUE, "")</f>
        <v/>
      </c>
      <c r="AP86" s="93" t="str" cm="1">
        <f t="array" ref="AP86">_xlfn.IFS(COUNTIF(Table14623[[#This Row],[Phrases H]],"*H373*"), 5, TRUE, "")</f>
        <v/>
      </c>
      <c r="AQ86" s="93" cm="1">
        <f t="array" ref="AQ86">_xlfn.IFS(COUNTIF(Table14623[[#This Row],[Phrases H]],"*H411*"), 5, TRUE, "")</f>
        <v>5</v>
      </c>
      <c r="AR86" s="94">
        <f t="shared" si="79"/>
        <v>45</v>
      </c>
      <c r="AS86" s="95"/>
      <c r="AT86" s="144">
        <v>1000</v>
      </c>
      <c r="AU86" s="97" t="s">
        <v>337</v>
      </c>
      <c r="AV86" s="98">
        <f t="shared" si="67"/>
        <v>15</v>
      </c>
      <c r="AW86" s="99" t="str">
        <f t="shared" si="68"/>
        <v>Production modérée</v>
      </c>
      <c r="AX86" s="95"/>
      <c r="AY86" s="100">
        <f t="shared" si="61"/>
        <v>60</v>
      </c>
      <c r="AZ86" s="17"/>
      <c r="BA86" s="144">
        <v>1015</v>
      </c>
      <c r="BB86" s="101">
        <f t="shared" si="59"/>
        <v>40</v>
      </c>
      <c r="BC86" s="98" t="str">
        <f t="shared" si="60"/>
        <v>Mobile</v>
      </c>
      <c r="BD86" s="101" t="s">
        <v>1128</v>
      </c>
      <c r="BE86" s="98" t="str">
        <f t="shared" si="62"/>
        <v>Non mobile</v>
      </c>
      <c r="BF86" s="101" t="s">
        <v>1162</v>
      </c>
      <c r="BG86" s="101">
        <v>0</v>
      </c>
      <c r="BH86" s="101" t="s">
        <v>1106</v>
      </c>
      <c r="BI86" s="98" t="str">
        <f t="shared" si="75"/>
        <v>Non volatil</v>
      </c>
      <c r="BJ86" s="102" t="s">
        <v>1274</v>
      </c>
      <c r="BK86" s="103" t="s">
        <v>343</v>
      </c>
      <c r="BL86" s="17"/>
      <c r="BM86" s="159" t="str">
        <f t="shared" si="63"/>
        <v>45, Production modérée (15), Mobile (solubilité), Non mobile (log Koc), Non volatil, intrinsèquement biodégradable  ,EUROFINS, SERVACO</v>
      </c>
      <c r="BN86" s="17"/>
      <c r="BO86" s="17"/>
      <c r="BP86" s="17"/>
      <c r="BQ86" s="17"/>
      <c r="BR86" s="17"/>
      <c r="BS86" s="17"/>
      <c r="BT86" s="30">
        <v>45</v>
      </c>
      <c r="BU86" s="31" t="s">
        <v>1074</v>
      </c>
      <c r="BV86" s="31" t="s">
        <v>1071</v>
      </c>
      <c r="BW86" s="31" t="s">
        <v>1080</v>
      </c>
      <c r="BX86" s="31" t="s">
        <v>1081</v>
      </c>
      <c r="BY86" s="31" t="s">
        <v>1274</v>
      </c>
      <c r="BZ86" s="32" t="s">
        <v>343</v>
      </c>
      <c r="CA86" s="17"/>
      <c r="CB86" s="105" t="s">
        <v>1263</v>
      </c>
      <c r="CC86" s="106">
        <v>2</v>
      </c>
      <c r="CD86" s="17"/>
      <c r="CE86" s="107">
        <f t="shared" si="69"/>
        <v>61</v>
      </c>
      <c r="CF86" s="108">
        <f t="shared" si="76"/>
        <v>0.77215189873417722</v>
      </c>
      <c r="CG86" s="17"/>
      <c r="CH86" s="110" t="str">
        <f t="shared" si="77"/>
        <v>Catégorie 4</v>
      </c>
      <c r="CI86" s="111" t="str">
        <f t="shared" si="78"/>
        <v/>
      </c>
      <c r="CJ86" s="112" t="str">
        <f t="shared" si="70"/>
        <v/>
      </c>
      <c r="CK86" s="112" t="str">
        <f t="shared" si="71"/>
        <v/>
      </c>
      <c r="CL86" s="113" t="str">
        <f t="shared" si="72"/>
        <v>Top 25%</v>
      </c>
      <c r="CM86" s="113" t="str">
        <f t="shared" si="73"/>
        <v>Top 50%</v>
      </c>
      <c r="CN86" s="114" t="str">
        <f t="shared" si="74"/>
        <v>Top 75%</v>
      </c>
      <c r="CO86" s="17"/>
      <c r="CP86" s="17"/>
      <c r="CQ86" s="17"/>
      <c r="CR86" s="17"/>
      <c r="CS86" s="17"/>
      <c r="CT86" s="17"/>
      <c r="CU86" s="17"/>
      <c r="CV86" s="17"/>
      <c r="CW86" s="17"/>
      <c r="CX86" s="17"/>
      <c r="CY86" s="17"/>
      <c r="CZ86" s="17"/>
      <c r="DA86" s="17"/>
      <c r="DB86" s="17"/>
      <c r="DC86" s="17"/>
      <c r="DD86" s="17"/>
      <c r="DE86" s="17"/>
      <c r="DF86" s="17"/>
      <c r="DG86" s="17"/>
      <c r="DH86" s="17"/>
      <c r="DI86" s="17"/>
      <c r="DJ86" s="17"/>
      <c r="DK86" s="17"/>
      <c r="DL86" s="17"/>
      <c r="DM86" s="17"/>
      <c r="DN86" s="17"/>
      <c r="DO86" s="17"/>
      <c r="DP86" s="17"/>
      <c r="DQ86" s="23"/>
    </row>
    <row r="87" spans="1:121" s="19" customFormat="1" ht="30" customHeight="1" x14ac:dyDescent="0.35">
      <c r="A87" s="4" t="s">
        <v>996</v>
      </c>
      <c r="B87" s="17" t="s">
        <v>1044</v>
      </c>
      <c r="C87" s="17" t="s">
        <v>1045</v>
      </c>
      <c r="D87" s="17" t="s">
        <v>1046</v>
      </c>
      <c r="E87" s="17" t="s">
        <v>1047</v>
      </c>
      <c r="F87" s="17" t="s">
        <v>1043</v>
      </c>
      <c r="G87" s="17" t="s">
        <v>1048</v>
      </c>
      <c r="H87" s="4"/>
      <c r="I87" s="4"/>
      <c r="J87" s="11" t="s">
        <v>1062</v>
      </c>
      <c r="K87" s="11"/>
      <c r="L87" s="11"/>
      <c r="M87" s="11" t="s">
        <v>30</v>
      </c>
      <c r="N87" s="11"/>
      <c r="O87" s="11"/>
      <c r="P87" s="11"/>
      <c r="Q87" s="11"/>
      <c r="R87" s="11" t="s">
        <v>1278</v>
      </c>
      <c r="S87" s="11"/>
      <c r="T87" s="11" t="s">
        <v>1068</v>
      </c>
      <c r="U87" s="11" t="s">
        <v>52</v>
      </c>
      <c r="V87" s="11">
        <v>280</v>
      </c>
      <c r="W87" s="4">
        <v>0</v>
      </c>
      <c r="X87" s="4" t="s">
        <v>1107</v>
      </c>
      <c r="Y87" s="4" t="s">
        <v>1118</v>
      </c>
      <c r="Z87" s="4"/>
      <c r="AA87" s="4" t="s">
        <v>1129</v>
      </c>
      <c r="AB87" s="4" t="s">
        <v>1140</v>
      </c>
      <c r="AC87" s="11" t="s">
        <v>1151</v>
      </c>
      <c r="AD87" s="10"/>
      <c r="AE87" s="92" t="str" cm="1">
        <f t="array" ref="AE87">_xlfn.IFS(COUNTIF(Table14623[[#This Row],[PBT/ vPvB]],"*X*"), 20, TRUE, "")</f>
        <v/>
      </c>
      <c r="AF87" s="93" t="str" cm="1">
        <f t="array" ref="AF87">_xlfn.IFS(COUNTIF(Table14623[[#This Row],[Perturbateur Endocrinien]],"*X*"), 20, TRUE, "")</f>
        <v/>
      </c>
      <c r="AG87" s="93" t="str" cm="1">
        <f t="array" ref="AG87">_xlfn.IFS(COUNTIF(Table14623[[#This Row],[Phrases H]],"*H350*"), 20, TRUE, "")</f>
        <v/>
      </c>
      <c r="AH87" s="93" t="str" cm="1">
        <f t="array" ref="AH87">_xlfn.IFS(COUNTIF(Table14623[[#This Row],[Phrases H]],"*H360*"), 20, TRUE, "")</f>
        <v/>
      </c>
      <c r="AI87" s="93" t="str" cm="1">
        <f t="array" ref="AI87">_xlfn.IFS(COUNTIF(Table14623[[#This Row],[Phrases H]],"*H340*"), 20, TRUE, "")</f>
        <v/>
      </c>
      <c r="AJ87" s="93" cm="1">
        <f t="array" ref="AJ87">_xlfn.IFS(COUNTIF(Table14623[[#This Row],[Phrases H]],"*H351*"), 10, TRUE, "")</f>
        <v>10</v>
      </c>
      <c r="AK87" s="93" t="str" cm="1">
        <f t="array" ref="AK87">_xlfn.IFS(COUNTIF(Table14623[[#This Row],[Phrases H]],"*H361*"), 10, TRUE, "")</f>
        <v/>
      </c>
      <c r="AL87" s="93" t="str" cm="1">
        <f t="array" ref="AL87">_xlfn.IFS(COUNTIF(Table14623[[#This Row],[Phrases H]],"*H362*"), 10, TRUE, "")</f>
        <v/>
      </c>
      <c r="AM87" s="93" t="str" cm="1">
        <f t="array" ref="AM87">_xlfn.IFS(COUNTIF(Table14623[[#This Row],[Phrases H]],"*H341*"), 10, TRUE, "")</f>
        <v/>
      </c>
      <c r="AN87" s="93" t="str" cm="1">
        <f t="array" ref="AN87">_xlfn.IFS(COUNTIF(Table14623[[#This Row],[Phrases H]],"*H372*"), 10, TRUE, "")</f>
        <v/>
      </c>
      <c r="AO87" s="93" t="str" cm="1">
        <f t="array" ref="AO87">_xlfn.IFS(COUNTIF(Table14623[[#This Row],[Phrases H]],"*H410*"), 10, TRUE, "")</f>
        <v/>
      </c>
      <c r="AP87" s="93" t="str" cm="1">
        <f t="array" ref="AP87">_xlfn.IFS(COUNTIF(Table14623[[#This Row],[Phrases H]],"*H373*"), 5, TRUE, "")</f>
        <v/>
      </c>
      <c r="AQ87" s="93" t="str" cm="1">
        <f t="array" ref="AQ87">_xlfn.IFS(COUNTIF(Table14623[[#This Row],[Phrases H]],"*H411*"), 5, TRUE, "")</f>
        <v/>
      </c>
      <c r="AR87" s="94">
        <f t="shared" si="79"/>
        <v>10</v>
      </c>
      <c r="AS87" s="95"/>
      <c r="AT87" s="144">
        <v>1000</v>
      </c>
      <c r="AU87" s="97" t="s">
        <v>337</v>
      </c>
      <c r="AV87" s="98">
        <f t="shared" si="67"/>
        <v>15</v>
      </c>
      <c r="AW87" s="99" t="str">
        <f t="shared" si="68"/>
        <v>Production modérée</v>
      </c>
      <c r="AX87" s="95"/>
      <c r="AY87" s="100">
        <f t="shared" ref="AY87:AY97" si="80">AR87+AV87</f>
        <v>25</v>
      </c>
      <c r="AZ87" s="17"/>
      <c r="BA87" s="144">
        <v>280</v>
      </c>
      <c r="BB87" s="101">
        <f t="shared" ref="BB87:BB89" si="81">IF(BA87="N/A","N/A",IF(BA87&gt;=100000,50,(IF(BA87&gt;=1000,40,(IF(BA87&gt;=10,30,(IF(BA87&gt;0.1,20,(IF(BA87&lt;0.1,10,0))))))))))</f>
        <v>30</v>
      </c>
      <c r="BC87" s="98" t="str">
        <f t="shared" ref="BC87:BC89" si="82">IF(BB87="N/A","N/A",IF(BB87=50,"Très mobile",IF(BB87=40,"Mobile",IF(BB87=30,"Moyennement mobile",IF(BB87=20,"Peu mobile",IF(BB87=10,"Très peu mobile",""))))))</f>
        <v>Moyennement mobile</v>
      </c>
      <c r="BD87" s="101" t="s">
        <v>1129</v>
      </c>
      <c r="BE87" s="98" t="str">
        <f t="shared" ref="BE87:BE97" si="83">IF(BD87="N/A","N/A",IF(BD87&lt;2,"Très mobile",IF(BD87&lt;3,"Mobile","Non mobile")))</f>
        <v>Non mobile</v>
      </c>
      <c r="BF87" s="101" t="s">
        <v>1163</v>
      </c>
      <c r="BG87" s="101">
        <v>0</v>
      </c>
      <c r="BH87" s="101" t="s">
        <v>1107</v>
      </c>
      <c r="BI87" s="98" t="str">
        <f t="shared" si="75"/>
        <v>Non volatil</v>
      </c>
      <c r="BJ87" s="102" t="s">
        <v>1278</v>
      </c>
      <c r="BK87" s="103" t="s">
        <v>343</v>
      </c>
      <c r="BL87" s="17"/>
      <c r="BM87" s="159" t="str">
        <f t="shared" ref="BM87:BM97" si="84">_xlfn.CONCAT(AR87,", ",AW87," (",AV87,")",", ",BC87," (solubilité), ",BE87," (log Koc), ",,BI87,", ",BJ87,",",BK87)</f>
        <v>10, Production modérée (15), Moyennement mobile (solubilité), Non mobile (log Koc), Non volatil, facilement biodégradable,EUROFINS, SERVACO</v>
      </c>
      <c r="BN87" s="17"/>
      <c r="BO87" s="17"/>
      <c r="BP87" s="17"/>
      <c r="BQ87" s="17"/>
      <c r="BR87" s="17"/>
      <c r="BS87" s="17"/>
      <c r="BT87" s="30">
        <v>10</v>
      </c>
      <c r="BU87" s="31" t="s">
        <v>1074</v>
      </c>
      <c r="BV87" s="31" t="s">
        <v>1076</v>
      </c>
      <c r="BW87" s="31" t="s">
        <v>1080</v>
      </c>
      <c r="BX87" s="31" t="s">
        <v>1081</v>
      </c>
      <c r="BY87" s="31" t="s">
        <v>1278</v>
      </c>
      <c r="BZ87" s="32" t="s">
        <v>343</v>
      </c>
      <c r="CA87" s="17"/>
      <c r="CB87" s="105" t="s">
        <v>392</v>
      </c>
      <c r="CC87" s="106">
        <v>1</v>
      </c>
      <c r="CD87" s="17"/>
      <c r="CE87" s="107">
        <f t="shared" si="69"/>
        <v>23.333333333333336</v>
      </c>
      <c r="CF87" s="108">
        <f t="shared" si="76"/>
        <v>0.29535864978902959</v>
      </c>
      <c r="CG87" s="17"/>
      <c r="CH87" s="110" t="str">
        <f t="shared" si="77"/>
        <v>Catégorie 2</v>
      </c>
      <c r="CI87" s="111" t="str">
        <f t="shared" si="78"/>
        <v/>
      </c>
      <c r="CJ87" s="112" t="str">
        <f t="shared" si="70"/>
        <v/>
      </c>
      <c r="CK87" s="112" t="str">
        <f t="shared" si="71"/>
        <v/>
      </c>
      <c r="CL87" s="113" t="str">
        <f t="shared" si="72"/>
        <v/>
      </c>
      <c r="CM87" s="113" t="str">
        <f t="shared" si="73"/>
        <v/>
      </c>
      <c r="CN87" s="114" t="str">
        <f t="shared" si="74"/>
        <v/>
      </c>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23"/>
    </row>
    <row r="88" spans="1:121" s="19" customFormat="1" ht="43" customHeight="1" x14ac:dyDescent="0.35">
      <c r="A88" s="4" t="s">
        <v>996</v>
      </c>
      <c r="B88" s="17" t="s">
        <v>1049</v>
      </c>
      <c r="C88" s="17" t="s">
        <v>1050</v>
      </c>
      <c r="D88" s="17" t="s">
        <v>1051</v>
      </c>
      <c r="E88" s="17" t="s">
        <v>1052</v>
      </c>
      <c r="F88" s="17" t="s">
        <v>1053</v>
      </c>
      <c r="G88" s="10" t="s">
        <v>1054</v>
      </c>
      <c r="H88" s="4"/>
      <c r="I88" s="4"/>
      <c r="J88" s="11" t="s">
        <v>1063</v>
      </c>
      <c r="K88" s="11"/>
      <c r="L88" s="11" t="s">
        <v>30</v>
      </c>
      <c r="M88" s="11"/>
      <c r="N88" s="11"/>
      <c r="O88" s="11"/>
      <c r="P88" s="11" t="s">
        <v>30</v>
      </c>
      <c r="Q88" s="11"/>
      <c r="R88" s="11" t="s">
        <v>1274</v>
      </c>
      <c r="S88" s="11"/>
      <c r="T88" s="11" t="s">
        <v>1069</v>
      </c>
      <c r="U88" s="11" t="s">
        <v>52</v>
      </c>
      <c r="V88" s="11" t="s">
        <v>1090</v>
      </c>
      <c r="W88" s="4" t="s">
        <v>1097</v>
      </c>
      <c r="X88" s="4" t="s">
        <v>1108</v>
      </c>
      <c r="Y88" s="4" t="s">
        <v>1119</v>
      </c>
      <c r="Z88" s="4"/>
      <c r="AA88" s="4" t="s">
        <v>1130</v>
      </c>
      <c r="AB88" s="4" t="s">
        <v>1141</v>
      </c>
      <c r="AC88" s="11" t="s">
        <v>1152</v>
      </c>
      <c r="AD88" s="10"/>
      <c r="AE88" s="92" t="str" cm="1">
        <f t="array" ref="AE88">_xlfn.IFS(COUNTIF(Table14623[[#This Row],[PBT/ vPvB]],"*X*"), 20, TRUE, "")</f>
        <v/>
      </c>
      <c r="AF88" s="93" t="str" cm="1">
        <f t="array" ref="AF88">_xlfn.IFS(COUNTIF(Table14623[[#This Row],[Perturbateur Endocrinien]],"*X*"), 20, TRUE, "")</f>
        <v/>
      </c>
      <c r="AG88" s="93" t="str" cm="1">
        <f t="array" ref="AG88">_xlfn.IFS(COUNTIF(Table14623[[#This Row],[Phrases H]],"*H350*"), 20, TRUE, "")</f>
        <v/>
      </c>
      <c r="AH88" s="93" t="str" cm="1">
        <f t="array" ref="AH88">_xlfn.IFS(COUNTIF(Table14623[[#This Row],[Phrases H]],"*H360*"), 20, TRUE, "")</f>
        <v/>
      </c>
      <c r="AI88" s="93" t="str" cm="1">
        <f t="array" ref="AI88">_xlfn.IFS(COUNTIF(Table14623[[#This Row],[Phrases H]],"*H340*"), 20, TRUE, "")</f>
        <v/>
      </c>
      <c r="AJ88" s="93" cm="1">
        <f t="array" ref="AJ88">_xlfn.IFS(COUNTIF(Table14623[[#This Row],[Phrases H]],"*H351*"), 10, TRUE, "")</f>
        <v>10</v>
      </c>
      <c r="AK88" s="93" t="str" cm="1">
        <f t="array" ref="AK88">_xlfn.IFS(COUNTIF(Table14623[[#This Row],[Phrases H]],"*H361*"), 10, TRUE, "")</f>
        <v/>
      </c>
      <c r="AL88" s="93" t="str" cm="1">
        <f t="array" ref="AL88">_xlfn.IFS(COUNTIF(Table14623[[#This Row],[Phrases H]],"*H362*"), 10, TRUE, "")</f>
        <v/>
      </c>
      <c r="AM88" s="93" t="str" cm="1">
        <f t="array" ref="AM88">_xlfn.IFS(COUNTIF(Table14623[[#This Row],[Phrases H]],"*H341*"), 10, TRUE, "")</f>
        <v/>
      </c>
      <c r="AN88" s="93" t="str" cm="1">
        <f t="array" ref="AN88">_xlfn.IFS(COUNTIF(Table14623[[#This Row],[Phrases H]],"*H372*"), 10, TRUE, "")</f>
        <v/>
      </c>
      <c r="AO88" s="93" cm="1">
        <f t="array" ref="AO88">_xlfn.IFS(COUNTIF(Table14623[[#This Row],[Phrases H]],"*H410*"), 10, TRUE, "")</f>
        <v>10</v>
      </c>
      <c r="AP88" s="93" t="str" cm="1">
        <f t="array" ref="AP88">_xlfn.IFS(COUNTIF(Table14623[[#This Row],[Phrases H]],"*H373*"), 5, TRUE, "")</f>
        <v/>
      </c>
      <c r="AQ88" s="93" t="str" cm="1">
        <f t="array" ref="AQ88">_xlfn.IFS(COUNTIF(Table14623[[#This Row],[Phrases H]],"*H411*"), 5, TRUE, "")</f>
        <v/>
      </c>
      <c r="AR88" s="94">
        <f t="shared" si="79"/>
        <v>20</v>
      </c>
      <c r="AS88" s="95"/>
      <c r="AT88" s="144">
        <v>1000000</v>
      </c>
      <c r="AU88" s="97" t="s">
        <v>337</v>
      </c>
      <c r="AV88" s="98">
        <f t="shared" si="67"/>
        <v>25</v>
      </c>
      <c r="AW88" s="99" t="str">
        <f t="shared" si="68"/>
        <v>Production très élevée</v>
      </c>
      <c r="AX88" s="95"/>
      <c r="AY88" s="100">
        <f t="shared" si="80"/>
        <v>45</v>
      </c>
      <c r="AZ88" s="17"/>
      <c r="BA88" s="144" t="s">
        <v>1090</v>
      </c>
      <c r="BB88" s="101">
        <f t="shared" si="81"/>
        <v>50</v>
      </c>
      <c r="BC88" s="98" t="str">
        <f t="shared" si="82"/>
        <v>Très mobile</v>
      </c>
      <c r="BD88" s="101" t="s">
        <v>1130</v>
      </c>
      <c r="BE88" s="98" t="str">
        <f t="shared" si="83"/>
        <v>Non mobile</v>
      </c>
      <c r="BF88" s="101" t="s">
        <v>1164</v>
      </c>
      <c r="BG88" s="101" t="s">
        <v>1097</v>
      </c>
      <c r="BH88" s="101" t="s">
        <v>1108</v>
      </c>
      <c r="BI88" s="98" t="str">
        <f t="shared" si="75"/>
        <v>Volatile</v>
      </c>
      <c r="BJ88" s="102" t="s">
        <v>1274</v>
      </c>
      <c r="BK88" s="103" t="s">
        <v>343</v>
      </c>
      <c r="BL88" s="17"/>
      <c r="BM88" s="159" t="str">
        <f t="shared" si="84"/>
        <v>20, Production très élevée (25), Très mobile (solubilité), Non mobile (log Koc), Volatile, intrinsèquement biodégradable  ,EUROFINS, SERVACO</v>
      </c>
      <c r="BN88" s="17"/>
      <c r="BO88" s="17"/>
      <c r="BP88" s="17"/>
      <c r="BQ88" s="17"/>
      <c r="BR88" s="17"/>
      <c r="BS88" s="17"/>
      <c r="BT88" s="30">
        <v>20</v>
      </c>
      <c r="BU88" s="31" t="s">
        <v>1072</v>
      </c>
      <c r="BV88" s="31" t="s">
        <v>1079</v>
      </c>
      <c r="BW88" s="31" t="s">
        <v>1080</v>
      </c>
      <c r="BX88" s="31" t="s">
        <v>1255</v>
      </c>
      <c r="BY88" s="31" t="s">
        <v>1274</v>
      </c>
      <c r="BZ88" s="32" t="s">
        <v>343</v>
      </c>
      <c r="CA88" s="17"/>
      <c r="CB88" s="105" t="s">
        <v>1264</v>
      </c>
      <c r="CC88" s="106">
        <v>3</v>
      </c>
      <c r="CD88" s="17"/>
      <c r="CE88" s="107">
        <f t="shared" si="69"/>
        <v>48.666666666666671</v>
      </c>
      <c r="CF88" s="108">
        <f t="shared" si="76"/>
        <v>0.61603375527426163</v>
      </c>
      <c r="CG88" s="17"/>
      <c r="CH88" s="110" t="str">
        <f t="shared" si="77"/>
        <v>Catégorie 4</v>
      </c>
      <c r="CI88" s="111" t="str">
        <f t="shared" si="78"/>
        <v/>
      </c>
      <c r="CJ88" s="112" t="str">
        <f t="shared" si="70"/>
        <v/>
      </c>
      <c r="CK88" s="112" t="str">
        <f t="shared" si="71"/>
        <v/>
      </c>
      <c r="CL88" s="113" t="str">
        <f t="shared" si="72"/>
        <v/>
      </c>
      <c r="CM88" s="113" t="str">
        <f t="shared" si="73"/>
        <v>Top 50%</v>
      </c>
      <c r="CN88" s="114" t="str">
        <f t="shared" si="74"/>
        <v>Top 75%</v>
      </c>
      <c r="CO88" s="17"/>
      <c r="CP88" s="17"/>
      <c r="CQ88" s="17"/>
      <c r="CR88" s="17"/>
      <c r="CS88" s="17"/>
      <c r="CT88" s="17"/>
      <c r="CU88" s="17"/>
      <c r="CV88" s="17"/>
      <c r="CW88" s="17"/>
      <c r="CX88" s="17"/>
      <c r="CY88" s="17"/>
      <c r="CZ88" s="17"/>
      <c r="DA88" s="17"/>
      <c r="DB88" s="17"/>
      <c r="DC88" s="17"/>
      <c r="DD88" s="17"/>
      <c r="DE88" s="17"/>
      <c r="DF88" s="17"/>
      <c r="DG88" s="17"/>
      <c r="DH88" s="17"/>
      <c r="DI88" s="17"/>
      <c r="DJ88" s="17"/>
      <c r="DK88" s="17"/>
      <c r="DL88" s="17"/>
      <c r="DM88" s="17"/>
      <c r="DN88" s="17"/>
      <c r="DO88" s="17"/>
      <c r="DP88" s="17"/>
      <c r="DQ88" s="23"/>
    </row>
    <row r="89" spans="1:121" s="19" customFormat="1" ht="30" customHeight="1" thickBot="1" x14ac:dyDescent="0.4">
      <c r="A89" s="4" t="s">
        <v>996</v>
      </c>
      <c r="B89" s="10" t="s">
        <v>1055</v>
      </c>
      <c r="C89" s="10" t="s">
        <v>1056</v>
      </c>
      <c r="D89" s="18" t="s">
        <v>1057</v>
      </c>
      <c r="E89" s="17" t="s">
        <v>1058</v>
      </c>
      <c r="F89" s="10" t="s">
        <v>1059</v>
      </c>
      <c r="G89" s="10" t="s">
        <v>1060</v>
      </c>
      <c r="H89" s="4"/>
      <c r="I89" s="4"/>
      <c r="J89" s="11" t="s">
        <v>31</v>
      </c>
      <c r="K89" s="11"/>
      <c r="L89" s="11"/>
      <c r="M89" s="11"/>
      <c r="N89" s="11" t="s">
        <v>30</v>
      </c>
      <c r="O89" s="11"/>
      <c r="P89" s="11"/>
      <c r="Q89" s="11"/>
      <c r="R89" s="11" t="s">
        <v>31</v>
      </c>
      <c r="S89" s="11" t="s">
        <v>30</v>
      </c>
      <c r="T89" s="11" t="s">
        <v>1070</v>
      </c>
      <c r="U89" s="11" t="s">
        <v>31</v>
      </c>
      <c r="V89" s="12" t="s">
        <v>1091</v>
      </c>
      <c r="W89" s="4" t="s">
        <v>1098</v>
      </c>
      <c r="X89" s="4" t="s">
        <v>1109</v>
      </c>
      <c r="Y89" s="4" t="s">
        <v>1120</v>
      </c>
      <c r="Z89" s="4"/>
      <c r="AA89" s="4" t="s">
        <v>1131</v>
      </c>
      <c r="AB89" s="4" t="s">
        <v>1142</v>
      </c>
      <c r="AC89" s="20" t="s">
        <v>1154</v>
      </c>
      <c r="AD89" s="10"/>
      <c r="AE89" s="92" t="str" cm="1">
        <f t="array" ref="AE89">_xlfn.IFS(COUNTIF(Table14623[[#This Row],[PBT/ vPvB]],"*X*"), 20, TRUE, "")</f>
        <v/>
      </c>
      <c r="AF89" s="93" cm="1">
        <f t="array" ref="AF89">_xlfn.IFS(COUNTIF(Table14623[[#This Row],[Perturbateur Endocrinien]],"*X*"), 20, TRUE, "")</f>
        <v>20</v>
      </c>
      <c r="AG89" s="93" t="str" cm="1">
        <f t="array" ref="AG89">_xlfn.IFS(COUNTIF(Table14623[[#This Row],[Phrases H]],"*H350*"), 20, TRUE, "")</f>
        <v/>
      </c>
      <c r="AH89" s="93" t="str" cm="1">
        <f t="array" ref="AH89">_xlfn.IFS(COUNTIF(Table14623[[#This Row],[Phrases H]],"*H360*"), 20, TRUE, "")</f>
        <v/>
      </c>
      <c r="AI89" s="93" t="str" cm="1">
        <f t="array" ref="AI89">_xlfn.IFS(COUNTIF(Table14623[[#This Row],[Phrases H]],"*H340*"), 20, TRUE, "")</f>
        <v/>
      </c>
      <c r="AJ89" s="93" t="str" cm="1">
        <f t="array" ref="AJ89">_xlfn.IFS(COUNTIF(Table14623[[#This Row],[Phrases H]],"*H351*"), 10, TRUE, "")</f>
        <v/>
      </c>
      <c r="AK89" s="93" cm="1">
        <f t="array" ref="AK89">_xlfn.IFS(COUNTIF(Table14623[[#This Row],[Phrases H]],"*H361*"), 10, TRUE, "")</f>
        <v>10</v>
      </c>
      <c r="AL89" s="93" t="str" cm="1">
        <f t="array" ref="AL89">_xlfn.IFS(COUNTIF(Table14623[[#This Row],[Phrases H]],"*H362*"), 10, TRUE, "")</f>
        <v/>
      </c>
      <c r="AM89" s="93" t="str" cm="1">
        <f t="array" ref="AM89">_xlfn.IFS(COUNTIF(Table14623[[#This Row],[Phrases H]],"*H341*"), 10, TRUE, "")</f>
        <v/>
      </c>
      <c r="AN89" s="93" t="str" cm="1">
        <f t="array" ref="AN89">_xlfn.IFS(COUNTIF(Table14623[[#This Row],[Phrases H]],"*H372*"), 10, TRUE, "")</f>
        <v/>
      </c>
      <c r="AO89" s="93" cm="1">
        <f t="array" ref="AO89">_xlfn.IFS(COUNTIF(Table14623[[#This Row],[Phrases H]],"*H410*"), 10, TRUE, "")</f>
        <v>10</v>
      </c>
      <c r="AP89" s="93" t="str" cm="1">
        <f t="array" ref="AP89">_xlfn.IFS(COUNTIF(Table14623[[#This Row],[Phrases H]],"*H373*"), 5, TRUE, "")</f>
        <v/>
      </c>
      <c r="AQ89" s="93" t="str" cm="1">
        <f t="array" ref="AQ89">_xlfn.IFS(COUNTIF(Table14623[[#This Row],[Phrases H]],"*H411*"), 5, TRUE, "")</f>
        <v/>
      </c>
      <c r="AR89" s="94">
        <f t="shared" si="79"/>
        <v>40</v>
      </c>
      <c r="AS89" s="95"/>
      <c r="AT89" s="144" t="s">
        <v>31</v>
      </c>
      <c r="AU89" s="97" t="s">
        <v>337</v>
      </c>
      <c r="AV89" s="98">
        <f t="shared" si="67"/>
        <v>0</v>
      </c>
      <c r="AW89" s="99" t="str">
        <f t="shared" si="68"/>
        <v>N/A</v>
      </c>
      <c r="AX89" s="95"/>
      <c r="AY89" s="100">
        <f t="shared" si="80"/>
        <v>40</v>
      </c>
      <c r="AZ89" s="17"/>
      <c r="BA89" s="144" t="s">
        <v>1091</v>
      </c>
      <c r="BB89" s="101">
        <f t="shared" si="81"/>
        <v>50</v>
      </c>
      <c r="BC89" s="98" t="str">
        <f t="shared" si="82"/>
        <v>Très mobile</v>
      </c>
      <c r="BD89" s="101" t="s">
        <v>1131</v>
      </c>
      <c r="BE89" s="98" t="str">
        <f t="shared" si="83"/>
        <v>Non mobile</v>
      </c>
      <c r="BF89" s="101" t="s">
        <v>1165</v>
      </c>
      <c r="BG89" s="101" t="s">
        <v>1098</v>
      </c>
      <c r="BH89" s="101" t="s">
        <v>1109</v>
      </c>
      <c r="BI89" s="98" t="str">
        <f t="shared" si="75"/>
        <v>Volatile</v>
      </c>
      <c r="BJ89" s="102" t="s">
        <v>31</v>
      </c>
      <c r="BK89" s="103" t="s">
        <v>341</v>
      </c>
      <c r="BL89" s="17"/>
      <c r="BM89" s="159" t="str">
        <f t="shared" si="84"/>
        <v>40, N/A (0), Très mobile (solubilité), Non mobile (log Koc), Volatile, N/A,EUROFINS</v>
      </c>
      <c r="BN89" s="17"/>
      <c r="BO89" s="17"/>
      <c r="BP89" s="17"/>
      <c r="BQ89" s="17"/>
      <c r="BR89" s="17"/>
      <c r="BS89" s="17"/>
      <c r="BT89" s="30">
        <v>40</v>
      </c>
      <c r="BU89" s="31" t="s">
        <v>31</v>
      </c>
      <c r="BV89" s="31" t="s">
        <v>1079</v>
      </c>
      <c r="BW89" s="31" t="s">
        <v>1080</v>
      </c>
      <c r="BX89" s="31" t="s">
        <v>1255</v>
      </c>
      <c r="BY89" s="31" t="s">
        <v>31</v>
      </c>
      <c r="BZ89" s="32" t="s">
        <v>341</v>
      </c>
      <c r="CA89" s="17"/>
      <c r="CB89" s="105" t="s">
        <v>1265</v>
      </c>
      <c r="CC89" s="106">
        <v>2</v>
      </c>
      <c r="CD89" s="17"/>
      <c r="CE89" s="107">
        <f t="shared" si="69"/>
        <v>47.333333333333336</v>
      </c>
      <c r="CF89" s="108">
        <f t="shared" si="76"/>
        <v>0.59915611814345993</v>
      </c>
      <c r="CG89" s="17"/>
      <c r="CH89" s="110" t="str">
        <f t="shared" si="77"/>
        <v>Catégorie 3</v>
      </c>
      <c r="CI89" s="111" t="str">
        <f t="shared" si="78"/>
        <v/>
      </c>
      <c r="CJ89" s="112" t="str">
        <f t="shared" si="70"/>
        <v/>
      </c>
      <c r="CK89" s="112" t="str">
        <f t="shared" si="71"/>
        <v/>
      </c>
      <c r="CL89" s="113" t="str">
        <f t="shared" si="72"/>
        <v/>
      </c>
      <c r="CM89" s="113" t="str">
        <f t="shared" si="73"/>
        <v>Top 50%</v>
      </c>
      <c r="CN89" s="114" t="str">
        <f t="shared" si="74"/>
        <v>Top 75%</v>
      </c>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row>
    <row r="90" spans="1:121" s="19" customFormat="1" ht="30" customHeight="1" x14ac:dyDescent="0.35">
      <c r="A90" s="4" t="s">
        <v>1166</v>
      </c>
      <c r="B90" s="3" t="s">
        <v>1167</v>
      </c>
      <c r="C90" s="4" t="s">
        <v>1168</v>
      </c>
      <c r="D90" s="4" t="s">
        <v>1169</v>
      </c>
      <c r="E90" s="4" t="s">
        <v>1170</v>
      </c>
      <c r="F90" s="4" t="s">
        <v>1199</v>
      </c>
      <c r="G90" s="4" t="s">
        <v>1200</v>
      </c>
      <c r="H90" s="4" t="s">
        <v>1215</v>
      </c>
      <c r="I90" s="4" t="s">
        <v>26</v>
      </c>
      <c r="J90" s="4" t="s">
        <v>31</v>
      </c>
      <c r="K90" s="4" t="s">
        <v>30</v>
      </c>
      <c r="L90" s="4"/>
      <c r="M90" s="4"/>
      <c r="N90" s="4"/>
      <c r="O90" s="4"/>
      <c r="P90" s="8"/>
      <c r="Q90" s="8" t="s">
        <v>30</v>
      </c>
      <c r="R90" s="4" t="s">
        <v>31</v>
      </c>
      <c r="S90" s="8"/>
      <c r="T90" s="4" t="s">
        <v>1223</v>
      </c>
      <c r="U90" s="4" t="s">
        <v>31</v>
      </c>
      <c r="V90" s="4">
        <v>17.399999999999999</v>
      </c>
      <c r="W90" s="4">
        <v>4</v>
      </c>
      <c r="X90" s="4">
        <v>36</v>
      </c>
      <c r="Y90" s="4">
        <v>4.08</v>
      </c>
      <c r="Z90" s="4"/>
      <c r="AA90" s="25">
        <f t="shared" ref="AA90:AA91" si="85">LOG(1620)</f>
        <v>3.2095150145426308</v>
      </c>
      <c r="AB90" s="4" t="s">
        <v>1229</v>
      </c>
      <c r="AC90" s="4" t="s">
        <v>1236</v>
      </c>
      <c r="AD90" s="10"/>
      <c r="AE90" s="123" cm="1">
        <f t="array" ref="AE90">_xlfn.IFS(COUNTIF(Table14623[[#This Row],[PBT/ vPvB]],"*X*"), 20, TRUE, "")</f>
        <v>20</v>
      </c>
      <c r="AF90" s="124" t="str" cm="1">
        <f t="array" ref="AF90">_xlfn.IFS(COUNTIF(Table14623[[#This Row],[Perturbateur Endocrinien]],"*X*"), 20, TRUE, "")</f>
        <v/>
      </c>
      <c r="AG90" s="124" t="str" cm="1">
        <f t="array" ref="AG90">_xlfn.IFS(COUNTIF(Table14623[[#This Row],[Phrases H]],"*H350*"), 20, TRUE, "")</f>
        <v/>
      </c>
      <c r="AH90" s="124" t="str" cm="1">
        <f t="array" ref="AH90">_xlfn.IFS(COUNTIF(Table14623[[#This Row],[Phrases H]],"*H360*"), 20, TRUE, "")</f>
        <v/>
      </c>
      <c r="AI90" s="124" t="str" cm="1">
        <f t="array" ref="AI90">_xlfn.IFS(COUNTIF(Table14623[[#This Row],[Phrases H]],"*H340*"), 20, TRUE, "")</f>
        <v/>
      </c>
      <c r="AJ90" s="124" t="str" cm="1">
        <f t="array" ref="AJ90">_xlfn.IFS(COUNTIF(Table14623[[#This Row],[Phrases H]],"*H351*"), 10, TRUE, "")</f>
        <v/>
      </c>
      <c r="AK90" s="124" t="str" cm="1">
        <f t="array" ref="AK90">_xlfn.IFS(COUNTIF(Table14623[[#This Row],[Phrases H]],"*H361*"), 10, TRUE, "")</f>
        <v/>
      </c>
      <c r="AL90" s="124" t="str" cm="1">
        <f t="array" ref="AL90">_xlfn.IFS(COUNTIF(Table14623[[#This Row],[Phrases H]],"*H362*"), 10, TRUE, "")</f>
        <v/>
      </c>
      <c r="AM90" s="124" t="str" cm="1">
        <f t="array" ref="AM90">_xlfn.IFS(COUNTIF(Table14623[[#This Row],[Phrases H]],"*H341*"), 10, TRUE, "")</f>
        <v/>
      </c>
      <c r="AN90" s="124" t="str" cm="1">
        <f t="array" ref="AN90">_xlfn.IFS(COUNTIF(Table14623[[#This Row],[Phrases H]],"*H372*"), 10, TRUE, "")</f>
        <v/>
      </c>
      <c r="AO90" s="124" t="str" cm="1">
        <f t="array" ref="AO90">_xlfn.IFS(COUNTIF(Table14623[[#This Row],[Phrases H]],"*H410*"), 10, TRUE, "")</f>
        <v/>
      </c>
      <c r="AP90" s="124" t="str" cm="1">
        <f t="array" ref="AP90">_xlfn.IFS(COUNTIF(Table14623[[#This Row],[Phrases H]],"*H373*"), 5, TRUE, "")</f>
        <v/>
      </c>
      <c r="AQ90" s="124" t="str" cm="1">
        <f t="array" ref="AQ90">_xlfn.IFS(COUNTIF(Table14623[[#This Row],[Phrases H]],"*H411*"), 5, TRUE, "")</f>
        <v/>
      </c>
      <c r="AR90" s="125">
        <f t="shared" ref="AR90:AR97" si="86">SUM(AE90:AQ90)</f>
        <v>20</v>
      </c>
      <c r="AS90" s="95"/>
      <c r="AT90" s="126" t="s">
        <v>31</v>
      </c>
      <c r="AU90" s="127" t="s">
        <v>337</v>
      </c>
      <c r="AV90" s="128">
        <f t="shared" ref="AV90:AV97" si="87">IF(AT90="N/A",0,IF(AT90&lt;=10,5,IF(AT90&lt;=100,10,IF(AT90&lt;=1000,15,IF(AT90&lt;=10000,20,25)))))</f>
        <v>0</v>
      </c>
      <c r="AW90" s="129" t="str">
        <f t="shared" ref="AW90:AW97" si="88">IF(AV90=25,"Production très élevée",IF(AV90=20,"Production élevée",IF(AV90=15,"Production modérée",IF(AV90=10,"Faible production",IF(AV90=5,"Très faible production","N/A")))))</f>
        <v>N/A</v>
      </c>
      <c r="AX90" s="95"/>
      <c r="AY90" s="130">
        <f t="shared" si="80"/>
        <v>20</v>
      </c>
      <c r="AZ90" s="17"/>
      <c r="BA90" s="126">
        <v>17.399999999999999</v>
      </c>
      <c r="BB90" s="131">
        <f t="shared" ref="BB90:BB97" si="89">IF(BA90="N/A","N/A",IF(BA90&gt;=100000,50,(IF(BA90&gt;=1000,40,(IF(BA90&gt;=10,30,(IF(BA90&gt;0.1,20,(IF(BA90&lt;0.1,10,0))))))))))</f>
        <v>30</v>
      </c>
      <c r="BC90" s="128" t="str">
        <f t="shared" ref="BC90:BC97" si="90">IF(BB90="N/A","N/A",IF(BB90=50,"Très mobile",IF(BB90=40,"Mobile",IF(BB90=30,"Moyennement mobile",IF(BB90=20,"Peu mobile",IF(BB90=10,"Très peu mobile",""))))))</f>
        <v>Moyennement mobile</v>
      </c>
      <c r="BD90" s="131">
        <v>3.2095150145426308</v>
      </c>
      <c r="BE90" s="128" t="str">
        <f t="shared" si="83"/>
        <v>Non mobile</v>
      </c>
      <c r="BF90" s="131">
        <v>162.61000000000001</v>
      </c>
      <c r="BG90" s="131">
        <v>4</v>
      </c>
      <c r="BH90" s="131">
        <v>36</v>
      </c>
      <c r="BI90" s="128" t="str">
        <f t="shared" si="75"/>
        <v>Non volatil</v>
      </c>
      <c r="BJ90" s="132" t="s">
        <v>31</v>
      </c>
      <c r="BK90" s="133" t="s">
        <v>341</v>
      </c>
      <c r="BL90" s="17"/>
      <c r="BM90" s="199" t="str">
        <f t="shared" si="84"/>
        <v>20, N/A (0), Moyennement mobile (solubilité), Non mobile (log Koc), Non volatil, N/A,EUROFINS</v>
      </c>
      <c r="BN90" s="17"/>
      <c r="BO90" s="17"/>
      <c r="BP90" s="17"/>
      <c r="BQ90" s="17"/>
      <c r="BR90" s="17"/>
      <c r="BS90" s="17"/>
      <c r="BT90" s="39">
        <v>20</v>
      </c>
      <c r="BU90" s="40" t="s">
        <v>31</v>
      </c>
      <c r="BV90" s="40" t="s">
        <v>1076</v>
      </c>
      <c r="BW90" s="40" t="s">
        <v>1080</v>
      </c>
      <c r="BX90" s="40" t="s">
        <v>1081</v>
      </c>
      <c r="BY90" s="40" t="s">
        <v>31</v>
      </c>
      <c r="BZ90" s="41" t="s">
        <v>341</v>
      </c>
      <c r="CA90" s="17"/>
      <c r="CB90" s="135" t="s">
        <v>1258</v>
      </c>
      <c r="CC90" s="136">
        <v>1</v>
      </c>
      <c r="CD90" s="17"/>
      <c r="CE90" s="137">
        <f t="shared" si="69"/>
        <v>23.666666666666668</v>
      </c>
      <c r="CF90" s="138">
        <f t="shared" si="76"/>
        <v>0.29957805907172996</v>
      </c>
      <c r="CG90" s="17"/>
      <c r="CH90" s="139" t="str">
        <f t="shared" si="77"/>
        <v>Catégorie 2</v>
      </c>
      <c r="CI90" s="140" t="str">
        <f t="shared" si="78"/>
        <v/>
      </c>
      <c r="CJ90" s="141" t="str">
        <f t="shared" si="70"/>
        <v/>
      </c>
      <c r="CK90" s="141" t="str">
        <f t="shared" si="71"/>
        <v/>
      </c>
      <c r="CL90" s="142" t="str">
        <f t="shared" si="72"/>
        <v/>
      </c>
      <c r="CM90" s="142" t="str">
        <f t="shared" si="73"/>
        <v/>
      </c>
      <c r="CN90" s="143" t="str">
        <f t="shared" si="74"/>
        <v>Top 75%</v>
      </c>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23"/>
    </row>
    <row r="91" spans="1:121" s="19" customFormat="1" ht="30" customHeight="1" x14ac:dyDescent="0.35">
      <c r="A91" s="4" t="s">
        <v>1166</v>
      </c>
      <c r="B91" s="3" t="s">
        <v>1171</v>
      </c>
      <c r="C91" s="4" t="s">
        <v>1172</v>
      </c>
      <c r="D91" s="4" t="s">
        <v>1173</v>
      </c>
      <c r="E91" s="4" t="s">
        <v>1174</v>
      </c>
      <c r="F91" s="4" t="s">
        <v>1201</v>
      </c>
      <c r="G91" s="4" t="s">
        <v>1202</v>
      </c>
      <c r="H91" s="4" t="s">
        <v>1216</v>
      </c>
      <c r="I91" s="4" t="s">
        <v>26</v>
      </c>
      <c r="J91" s="4" t="s">
        <v>31</v>
      </c>
      <c r="K91" s="4" t="s">
        <v>30</v>
      </c>
      <c r="L91" s="4"/>
      <c r="M91" s="4"/>
      <c r="N91" s="4"/>
      <c r="O91" s="4"/>
      <c r="P91" s="8"/>
      <c r="Q91" s="8" t="s">
        <v>30</v>
      </c>
      <c r="R91" s="4" t="s">
        <v>31</v>
      </c>
      <c r="S91" s="8"/>
      <c r="T91" s="4" t="s">
        <v>31</v>
      </c>
      <c r="U91" s="4" t="s">
        <v>31</v>
      </c>
      <c r="V91" s="4">
        <v>0.57324600000000003</v>
      </c>
      <c r="W91" s="4">
        <v>0.27825297999999998</v>
      </c>
      <c r="X91" s="4">
        <v>47.45</v>
      </c>
      <c r="Y91" s="4">
        <v>4.6100000000000003</v>
      </c>
      <c r="Z91" s="4"/>
      <c r="AA91" s="25">
        <f t="shared" si="85"/>
        <v>3.2095150145426308</v>
      </c>
      <c r="AB91" s="4" t="s">
        <v>1229</v>
      </c>
      <c r="AC91" s="4" t="s">
        <v>1153</v>
      </c>
      <c r="AD91" s="10"/>
      <c r="AE91" s="92" cm="1">
        <f t="array" ref="AE91">_xlfn.IFS(COUNTIF(Table14623[[#This Row],[PBT/ vPvB]],"*X*"), 20, TRUE, "")</f>
        <v>20</v>
      </c>
      <c r="AF91" s="93" t="str" cm="1">
        <f t="array" ref="AF91">_xlfn.IFS(COUNTIF(Table14623[[#This Row],[Perturbateur Endocrinien]],"*X*"), 20, TRUE, "")</f>
        <v/>
      </c>
      <c r="AG91" s="93" t="str" cm="1">
        <f t="array" ref="AG91">_xlfn.IFS(COUNTIF(Table14623[[#This Row],[Phrases H]],"*H350*"), 20, TRUE, "")</f>
        <v/>
      </c>
      <c r="AH91" s="93" t="str" cm="1">
        <f t="array" ref="AH91">_xlfn.IFS(COUNTIF(Table14623[[#This Row],[Phrases H]],"*H360*"), 20, TRUE, "")</f>
        <v/>
      </c>
      <c r="AI91" s="93" t="str" cm="1">
        <f t="array" ref="AI91">_xlfn.IFS(COUNTIF(Table14623[[#This Row],[Phrases H]],"*H340*"), 20, TRUE, "")</f>
        <v/>
      </c>
      <c r="AJ91" s="93" t="str" cm="1">
        <f t="array" ref="AJ91">_xlfn.IFS(COUNTIF(Table14623[[#This Row],[Phrases H]],"*H351*"), 10, TRUE, "")</f>
        <v/>
      </c>
      <c r="AK91" s="93" t="str" cm="1">
        <f t="array" ref="AK91">_xlfn.IFS(COUNTIF(Table14623[[#This Row],[Phrases H]],"*H361*"), 10, TRUE, "")</f>
        <v/>
      </c>
      <c r="AL91" s="93" t="str" cm="1">
        <f t="array" ref="AL91">_xlfn.IFS(COUNTIF(Table14623[[#This Row],[Phrases H]],"*H362*"), 10, TRUE, "")</f>
        <v/>
      </c>
      <c r="AM91" s="93" t="str" cm="1">
        <f t="array" ref="AM91">_xlfn.IFS(COUNTIF(Table14623[[#This Row],[Phrases H]],"*H341*"), 10, TRUE, "")</f>
        <v/>
      </c>
      <c r="AN91" s="93" t="str" cm="1">
        <f t="array" ref="AN91">_xlfn.IFS(COUNTIF(Table14623[[#This Row],[Phrases H]],"*H372*"), 10, TRUE, "")</f>
        <v/>
      </c>
      <c r="AO91" s="93" t="str" cm="1">
        <f t="array" ref="AO91">_xlfn.IFS(COUNTIF(Table14623[[#This Row],[Phrases H]],"*H410*"), 10, TRUE, "")</f>
        <v/>
      </c>
      <c r="AP91" s="93" t="str" cm="1">
        <f t="array" ref="AP91">_xlfn.IFS(COUNTIF(Table14623[[#This Row],[Phrases H]],"*H373*"), 5, TRUE, "")</f>
        <v/>
      </c>
      <c r="AQ91" s="93" t="str" cm="1">
        <f t="array" ref="AQ91">_xlfn.IFS(COUNTIF(Table14623[[#This Row],[Phrases H]],"*H411*"), 5, TRUE, "")</f>
        <v/>
      </c>
      <c r="AR91" s="94">
        <f t="shared" si="86"/>
        <v>20</v>
      </c>
      <c r="AS91" s="95"/>
      <c r="AT91" s="144" t="s">
        <v>31</v>
      </c>
      <c r="AU91" s="97" t="s">
        <v>337</v>
      </c>
      <c r="AV91" s="98">
        <f t="shared" si="87"/>
        <v>0</v>
      </c>
      <c r="AW91" s="99" t="str">
        <f t="shared" si="88"/>
        <v>N/A</v>
      </c>
      <c r="AX91" s="95"/>
      <c r="AY91" s="100">
        <f t="shared" si="80"/>
        <v>20</v>
      </c>
      <c r="AZ91" s="17"/>
      <c r="BA91" s="144">
        <v>0.57324600000000003</v>
      </c>
      <c r="BB91" s="101">
        <f>IF(BA91="N/A","N/A",IF(BA91&gt;=100000,50,(IF(BA91&gt;=1000,40,(IF(BA91&gt;=10,30,(IF(BA91&gt;0.1,20,(IF(BA91&lt;0.1,10,0))))))))))</f>
        <v>20</v>
      </c>
      <c r="BC91" s="98" t="str">
        <f t="shared" si="90"/>
        <v>Peu mobile</v>
      </c>
      <c r="BD91" s="101">
        <v>3.2095150145426308</v>
      </c>
      <c r="BE91" s="98" t="str">
        <f t="shared" si="83"/>
        <v>Non mobile</v>
      </c>
      <c r="BF91" s="101">
        <v>197.06</v>
      </c>
      <c r="BG91" s="101">
        <v>0.27825297999999998</v>
      </c>
      <c r="BH91" s="101">
        <v>47.45</v>
      </c>
      <c r="BI91" s="98" t="str">
        <f t="shared" si="75"/>
        <v>Non volatil</v>
      </c>
      <c r="BJ91" s="102" t="s">
        <v>31</v>
      </c>
      <c r="BK91" s="103" t="s">
        <v>341</v>
      </c>
      <c r="BL91" s="17"/>
      <c r="BM91" s="159" t="str">
        <f t="shared" si="84"/>
        <v>20, N/A (0), Peu mobile (solubilité), Non mobile (log Koc), Non volatil, N/A,EUROFINS</v>
      </c>
      <c r="BN91" s="17"/>
      <c r="BO91" s="17"/>
      <c r="BP91" s="17"/>
      <c r="BQ91" s="17"/>
      <c r="BR91" s="17"/>
      <c r="BS91" s="17"/>
      <c r="BT91" s="30">
        <v>20</v>
      </c>
      <c r="BU91" s="31" t="s">
        <v>31</v>
      </c>
      <c r="BV91" s="31" t="s">
        <v>1078</v>
      </c>
      <c r="BW91" s="31" t="s">
        <v>1080</v>
      </c>
      <c r="BX91" s="31" t="s">
        <v>1081</v>
      </c>
      <c r="BY91" s="31" t="s">
        <v>31</v>
      </c>
      <c r="BZ91" s="32" t="s">
        <v>341</v>
      </c>
      <c r="CA91" s="17"/>
      <c r="CB91" s="105"/>
      <c r="CC91" s="106">
        <v>0</v>
      </c>
      <c r="CD91" s="17"/>
      <c r="CE91" s="107">
        <f t="shared" si="69"/>
        <v>18.666666666666668</v>
      </c>
      <c r="CF91" s="108">
        <f t="shared" si="76"/>
        <v>0.23628691983122366</v>
      </c>
      <c r="CG91" s="17"/>
      <c r="CH91" s="110" t="str">
        <f t="shared" si="77"/>
        <v>Catégorie 2</v>
      </c>
      <c r="CI91" s="111" t="str">
        <f t="shared" si="78"/>
        <v/>
      </c>
      <c r="CJ91" s="112" t="str">
        <f t="shared" si="70"/>
        <v/>
      </c>
      <c r="CK91" s="112" t="str">
        <f t="shared" si="71"/>
        <v/>
      </c>
      <c r="CL91" s="113" t="str">
        <f t="shared" si="72"/>
        <v/>
      </c>
      <c r="CM91" s="113" t="str">
        <f t="shared" si="73"/>
        <v/>
      </c>
      <c r="CN91" s="114" t="str">
        <f t="shared" si="74"/>
        <v/>
      </c>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row>
    <row r="92" spans="1:121" s="19" customFormat="1" ht="30" customHeight="1" x14ac:dyDescent="0.35">
      <c r="A92" s="4" t="s">
        <v>1166</v>
      </c>
      <c r="B92" s="3" t="s">
        <v>1175</v>
      </c>
      <c r="C92" s="4" t="s">
        <v>1176</v>
      </c>
      <c r="D92" s="4" t="s">
        <v>1177</v>
      </c>
      <c r="E92" s="4" t="s">
        <v>1178</v>
      </c>
      <c r="F92" s="4" t="s">
        <v>1203</v>
      </c>
      <c r="G92" s="4" t="s">
        <v>1204</v>
      </c>
      <c r="H92" s="4" t="s">
        <v>1217</v>
      </c>
      <c r="I92" s="4" t="s">
        <v>26</v>
      </c>
      <c r="J92" s="4" t="s">
        <v>31</v>
      </c>
      <c r="K92" s="4" t="s">
        <v>30</v>
      </c>
      <c r="L92" s="4"/>
      <c r="M92" s="4"/>
      <c r="N92" s="4"/>
      <c r="O92" s="4"/>
      <c r="P92" s="8"/>
      <c r="Q92" s="8" t="s">
        <v>30</v>
      </c>
      <c r="R92" s="4" t="s">
        <v>31</v>
      </c>
      <c r="S92" s="8"/>
      <c r="T92" s="4" t="s">
        <v>31</v>
      </c>
      <c r="U92" s="4" t="s">
        <v>31</v>
      </c>
      <c r="V92" s="4" t="s">
        <v>1224</v>
      </c>
      <c r="W92" s="4" t="s">
        <v>1225</v>
      </c>
      <c r="X92" s="4">
        <v>21.68</v>
      </c>
      <c r="Y92" s="4" t="s">
        <v>1227</v>
      </c>
      <c r="Z92" s="4"/>
      <c r="AA92" s="25">
        <f>LOG(7940)</f>
        <v>3.8998205024270964</v>
      </c>
      <c r="AB92" s="4" t="s">
        <v>1230</v>
      </c>
      <c r="AC92" s="4" t="s">
        <v>1237</v>
      </c>
      <c r="AD92" s="10"/>
      <c r="AE92" s="92" cm="1">
        <f t="array" ref="AE92">_xlfn.IFS(COUNTIF(Table14623[[#This Row],[PBT/ vPvB]],"*X*"), 20, TRUE, "")</f>
        <v>20</v>
      </c>
      <c r="AF92" s="93" t="str" cm="1">
        <f t="array" ref="AF92">_xlfn.IFS(COUNTIF(Table14623[[#This Row],[Perturbateur Endocrinien]],"*X*"), 20, TRUE, "")</f>
        <v/>
      </c>
      <c r="AG92" s="93" t="str" cm="1">
        <f t="array" ref="AG92">_xlfn.IFS(COUNTIF(Table14623[[#This Row],[Phrases H]],"*H350*"), 20, TRUE, "")</f>
        <v/>
      </c>
      <c r="AH92" s="93" t="str" cm="1">
        <f t="array" ref="AH92">_xlfn.IFS(COUNTIF(Table14623[[#This Row],[Phrases H]],"*H360*"), 20, TRUE, "")</f>
        <v/>
      </c>
      <c r="AI92" s="93" t="str" cm="1">
        <f t="array" ref="AI92">_xlfn.IFS(COUNTIF(Table14623[[#This Row],[Phrases H]],"*H340*"), 20, TRUE, "")</f>
        <v/>
      </c>
      <c r="AJ92" s="93" t="str" cm="1">
        <f t="array" ref="AJ92">_xlfn.IFS(COUNTIF(Table14623[[#This Row],[Phrases H]],"*H351*"), 10, TRUE, "")</f>
        <v/>
      </c>
      <c r="AK92" s="93" t="str" cm="1">
        <f t="array" ref="AK92">_xlfn.IFS(COUNTIF(Table14623[[#This Row],[Phrases H]],"*H361*"), 10, TRUE, "")</f>
        <v/>
      </c>
      <c r="AL92" s="93" t="str" cm="1">
        <f t="array" ref="AL92">_xlfn.IFS(COUNTIF(Table14623[[#This Row],[Phrases H]],"*H362*"), 10, TRUE, "")</f>
        <v/>
      </c>
      <c r="AM92" s="93" t="str" cm="1">
        <f t="array" ref="AM92">_xlfn.IFS(COUNTIF(Table14623[[#This Row],[Phrases H]],"*H341*"), 10, TRUE, "")</f>
        <v/>
      </c>
      <c r="AN92" s="93" t="str" cm="1">
        <f t="array" ref="AN92">_xlfn.IFS(COUNTIF(Table14623[[#This Row],[Phrases H]],"*H372*"), 10, TRUE, "")</f>
        <v/>
      </c>
      <c r="AO92" s="93" t="str" cm="1">
        <f t="array" ref="AO92">_xlfn.IFS(COUNTIF(Table14623[[#This Row],[Phrases H]],"*H410*"), 10, TRUE, "")</f>
        <v/>
      </c>
      <c r="AP92" s="93" t="str" cm="1">
        <f t="array" ref="AP92">_xlfn.IFS(COUNTIF(Table14623[[#This Row],[Phrases H]],"*H373*"), 5, TRUE, "")</f>
        <v/>
      </c>
      <c r="AQ92" s="93" t="str" cm="1">
        <f t="array" ref="AQ92">_xlfn.IFS(COUNTIF(Table14623[[#This Row],[Phrases H]],"*H411*"), 5, TRUE, "")</f>
        <v/>
      </c>
      <c r="AR92" s="94">
        <f t="shared" si="86"/>
        <v>20</v>
      </c>
      <c r="AS92" s="95"/>
      <c r="AT92" s="144" t="s">
        <v>31</v>
      </c>
      <c r="AU92" s="97" t="s">
        <v>337</v>
      </c>
      <c r="AV92" s="98">
        <f t="shared" si="87"/>
        <v>0</v>
      </c>
      <c r="AW92" s="99" t="str">
        <f t="shared" si="88"/>
        <v>N/A</v>
      </c>
      <c r="AX92" s="95"/>
      <c r="AY92" s="100">
        <f t="shared" si="80"/>
        <v>20</v>
      </c>
      <c r="AZ92" s="17"/>
      <c r="BA92" s="144" t="s">
        <v>1224</v>
      </c>
      <c r="BB92" s="101">
        <f t="shared" si="89"/>
        <v>50</v>
      </c>
      <c r="BC92" s="98" t="str">
        <f t="shared" si="90"/>
        <v>Très mobile</v>
      </c>
      <c r="BD92" s="101">
        <v>3.8998205024270964</v>
      </c>
      <c r="BE92" s="98" t="str">
        <f t="shared" si="83"/>
        <v>Non mobile</v>
      </c>
      <c r="BF92" s="101">
        <v>231.5</v>
      </c>
      <c r="BG92" s="101" t="s">
        <v>1225</v>
      </c>
      <c r="BH92" s="101">
        <v>21.68</v>
      </c>
      <c r="BI92" s="98" t="str">
        <f t="shared" si="75"/>
        <v>Volatile</v>
      </c>
      <c r="BJ92" s="102" t="s">
        <v>31</v>
      </c>
      <c r="BK92" s="103" t="s">
        <v>341</v>
      </c>
      <c r="BL92" s="17"/>
      <c r="BM92" s="159" t="str">
        <f t="shared" si="84"/>
        <v>20, N/A (0), Très mobile (solubilité), Non mobile (log Koc), Volatile, N/A,EUROFINS</v>
      </c>
      <c r="BN92" s="17"/>
      <c r="BO92" s="17"/>
      <c r="BP92" s="17"/>
      <c r="BQ92" s="17"/>
      <c r="BR92" s="17"/>
      <c r="BS92" s="17"/>
      <c r="BT92" s="30">
        <v>20</v>
      </c>
      <c r="BU92" s="31" t="s">
        <v>31</v>
      </c>
      <c r="BV92" s="31" t="s">
        <v>1079</v>
      </c>
      <c r="BW92" s="31" t="s">
        <v>1080</v>
      </c>
      <c r="BX92" s="31" t="s">
        <v>1255</v>
      </c>
      <c r="BY92" s="31" t="s">
        <v>31</v>
      </c>
      <c r="BZ92" s="32" t="s">
        <v>341</v>
      </c>
      <c r="CA92" s="17"/>
      <c r="CB92" s="105"/>
      <c r="CC92" s="106">
        <v>0</v>
      </c>
      <c r="CD92" s="17"/>
      <c r="CE92" s="107">
        <f t="shared" si="69"/>
        <v>18.666666666666668</v>
      </c>
      <c r="CF92" s="108">
        <f t="shared" si="76"/>
        <v>0.23628691983122366</v>
      </c>
      <c r="CG92" s="17"/>
      <c r="CH92" s="110" t="str">
        <f t="shared" si="77"/>
        <v>Catégorie 2</v>
      </c>
      <c r="CI92" s="111" t="str">
        <f t="shared" si="78"/>
        <v/>
      </c>
      <c r="CJ92" s="112" t="str">
        <f t="shared" si="70"/>
        <v/>
      </c>
      <c r="CK92" s="112" t="str">
        <f t="shared" si="71"/>
        <v/>
      </c>
      <c r="CL92" s="113" t="str">
        <f t="shared" si="72"/>
        <v/>
      </c>
      <c r="CM92" s="113" t="str">
        <f t="shared" si="73"/>
        <v/>
      </c>
      <c r="CN92" s="114" t="str">
        <f t="shared" si="74"/>
        <v/>
      </c>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23"/>
    </row>
    <row r="93" spans="1:121" s="19" customFormat="1" ht="30" customHeight="1" x14ac:dyDescent="0.35">
      <c r="A93" s="4" t="s">
        <v>1166</v>
      </c>
      <c r="B93" s="3" t="s">
        <v>1179</v>
      </c>
      <c r="C93" s="4" t="s">
        <v>1180</v>
      </c>
      <c r="D93" s="4" t="s">
        <v>1181</v>
      </c>
      <c r="E93" s="4" t="s">
        <v>1182</v>
      </c>
      <c r="F93" s="4" t="s">
        <v>1205</v>
      </c>
      <c r="G93" s="4" t="s">
        <v>1206</v>
      </c>
      <c r="H93" s="4" t="s">
        <v>1218</v>
      </c>
      <c r="I93" s="4" t="s">
        <v>26</v>
      </c>
      <c r="J93" s="4" t="s">
        <v>31</v>
      </c>
      <c r="K93" s="4" t="s">
        <v>30</v>
      </c>
      <c r="L93" s="4"/>
      <c r="M93" s="4"/>
      <c r="N93" s="4"/>
      <c r="O93" s="4"/>
      <c r="P93" s="8"/>
      <c r="Q93" s="8" t="s">
        <v>30</v>
      </c>
      <c r="R93" s="4" t="s">
        <v>31</v>
      </c>
      <c r="S93" s="8"/>
      <c r="T93" s="4" t="s">
        <v>31</v>
      </c>
      <c r="U93" s="4" t="s">
        <v>31</v>
      </c>
      <c r="V93" s="4">
        <v>4.2599999999999999E-3</v>
      </c>
      <c r="W93" s="4" t="s">
        <v>1225</v>
      </c>
      <c r="X93" s="4">
        <v>16.82</v>
      </c>
      <c r="Y93" s="4">
        <v>5.95</v>
      </c>
      <c r="Z93" s="4"/>
      <c r="AA93" s="25">
        <f>LOG(64600)</f>
        <v>4.8102325179950842</v>
      </c>
      <c r="AB93" s="4" t="s">
        <v>1231</v>
      </c>
      <c r="AC93" s="4" t="s">
        <v>1238</v>
      </c>
      <c r="AD93" s="10"/>
      <c r="AE93" s="92" cm="1">
        <f t="array" ref="AE93">_xlfn.IFS(COUNTIF(Table14623[[#This Row],[PBT/ vPvB]],"*X*"), 20, TRUE, "")</f>
        <v>20</v>
      </c>
      <c r="AF93" s="93" t="str" cm="1">
        <f t="array" ref="AF93">_xlfn.IFS(COUNTIF(Table14623[[#This Row],[Perturbateur Endocrinien]],"*X*"), 20, TRUE, "")</f>
        <v/>
      </c>
      <c r="AG93" s="93" t="str" cm="1">
        <f t="array" ref="AG93">_xlfn.IFS(COUNTIF(Table14623[[#This Row],[Phrases H]],"*H350*"), 20, TRUE, "")</f>
        <v/>
      </c>
      <c r="AH93" s="93" t="str" cm="1">
        <f t="array" ref="AH93">_xlfn.IFS(COUNTIF(Table14623[[#This Row],[Phrases H]],"*H360*"), 20, TRUE, "")</f>
        <v/>
      </c>
      <c r="AI93" s="93" t="str" cm="1">
        <f t="array" ref="AI93">_xlfn.IFS(COUNTIF(Table14623[[#This Row],[Phrases H]],"*H340*"), 20, TRUE, "")</f>
        <v/>
      </c>
      <c r="AJ93" s="93" t="str" cm="1">
        <f t="array" ref="AJ93">_xlfn.IFS(COUNTIF(Table14623[[#This Row],[Phrases H]],"*H351*"), 10, TRUE, "")</f>
        <v/>
      </c>
      <c r="AK93" s="93" t="str" cm="1">
        <f t="array" ref="AK93">_xlfn.IFS(COUNTIF(Table14623[[#This Row],[Phrases H]],"*H361*"), 10, TRUE, "")</f>
        <v/>
      </c>
      <c r="AL93" s="93" t="str" cm="1">
        <f t="array" ref="AL93">_xlfn.IFS(COUNTIF(Table14623[[#This Row],[Phrases H]],"*H362*"), 10, TRUE, "")</f>
        <v/>
      </c>
      <c r="AM93" s="93" t="str" cm="1">
        <f t="array" ref="AM93">_xlfn.IFS(COUNTIF(Table14623[[#This Row],[Phrases H]],"*H341*"), 10, TRUE, "")</f>
        <v/>
      </c>
      <c r="AN93" s="93" t="str" cm="1">
        <f t="array" ref="AN93">_xlfn.IFS(COUNTIF(Table14623[[#This Row],[Phrases H]],"*H372*"), 10, TRUE, "")</f>
        <v/>
      </c>
      <c r="AO93" s="93" t="str" cm="1">
        <f t="array" ref="AO93">_xlfn.IFS(COUNTIF(Table14623[[#This Row],[Phrases H]],"*H410*"), 10, TRUE, "")</f>
        <v/>
      </c>
      <c r="AP93" s="93" t="str" cm="1">
        <f t="array" ref="AP93">_xlfn.IFS(COUNTIF(Table14623[[#This Row],[Phrases H]],"*H373*"), 5, TRUE, "")</f>
        <v/>
      </c>
      <c r="AQ93" s="93" t="str" cm="1">
        <f t="array" ref="AQ93">_xlfn.IFS(COUNTIF(Table14623[[#This Row],[Phrases H]],"*H411*"), 5, TRUE, "")</f>
        <v/>
      </c>
      <c r="AR93" s="94">
        <f t="shared" si="86"/>
        <v>20</v>
      </c>
      <c r="AS93" s="95"/>
      <c r="AT93" s="144" t="s">
        <v>31</v>
      </c>
      <c r="AU93" s="97" t="s">
        <v>337</v>
      </c>
      <c r="AV93" s="98">
        <f t="shared" si="87"/>
        <v>0</v>
      </c>
      <c r="AW93" s="99" t="str">
        <f t="shared" si="88"/>
        <v>N/A</v>
      </c>
      <c r="AX93" s="95"/>
      <c r="AY93" s="100">
        <f t="shared" si="80"/>
        <v>20</v>
      </c>
      <c r="AZ93" s="17"/>
      <c r="BA93" s="144">
        <v>4.2599999999999999E-3</v>
      </c>
      <c r="BB93" s="101">
        <f t="shared" si="89"/>
        <v>10</v>
      </c>
      <c r="BC93" s="98" t="str">
        <f t="shared" si="90"/>
        <v>Très peu mobile</v>
      </c>
      <c r="BD93" s="101">
        <v>4.8102325179950842</v>
      </c>
      <c r="BE93" s="98" t="str">
        <f t="shared" si="83"/>
        <v>Non mobile</v>
      </c>
      <c r="BF93" s="101">
        <v>265.89999999999998</v>
      </c>
      <c r="BG93" s="101" t="s">
        <v>1225</v>
      </c>
      <c r="BH93" s="101">
        <v>16.82</v>
      </c>
      <c r="BI93" s="98" t="str">
        <f t="shared" si="75"/>
        <v>Volatile</v>
      </c>
      <c r="BJ93" s="102" t="s">
        <v>31</v>
      </c>
      <c r="BK93" s="103" t="s">
        <v>341</v>
      </c>
      <c r="BL93" s="17"/>
      <c r="BM93" s="159" t="str">
        <f t="shared" si="84"/>
        <v>20, N/A (0), Très peu mobile (solubilité), Non mobile (log Koc), Volatile, N/A,EUROFINS</v>
      </c>
      <c r="BN93" s="17"/>
      <c r="BO93" s="17"/>
      <c r="BP93" s="17"/>
      <c r="BQ93" s="17"/>
      <c r="BR93" s="17"/>
      <c r="BS93" s="17"/>
      <c r="BT93" s="30">
        <v>20</v>
      </c>
      <c r="BU93" s="31" t="s">
        <v>31</v>
      </c>
      <c r="BV93" s="31" t="s">
        <v>1077</v>
      </c>
      <c r="BW93" s="31" t="s">
        <v>1080</v>
      </c>
      <c r="BX93" s="31" t="s">
        <v>1255</v>
      </c>
      <c r="BY93" s="31" t="s">
        <v>31</v>
      </c>
      <c r="BZ93" s="32" t="s">
        <v>341</v>
      </c>
      <c r="CA93" s="17"/>
      <c r="CB93" s="105"/>
      <c r="CC93" s="106">
        <v>0</v>
      </c>
      <c r="CD93" s="17"/>
      <c r="CE93" s="107">
        <f t="shared" si="69"/>
        <v>18.666666666666668</v>
      </c>
      <c r="CF93" s="108">
        <f t="shared" si="76"/>
        <v>0.23628691983122366</v>
      </c>
      <c r="CG93" s="17"/>
      <c r="CH93" s="110" t="str">
        <f t="shared" si="77"/>
        <v>Catégorie 2</v>
      </c>
      <c r="CI93" s="111" t="str">
        <f t="shared" si="78"/>
        <v/>
      </c>
      <c r="CJ93" s="112" t="str">
        <f t="shared" si="70"/>
        <v/>
      </c>
      <c r="CK93" s="112" t="str">
        <f t="shared" si="71"/>
        <v/>
      </c>
      <c r="CL93" s="113" t="str">
        <f t="shared" si="72"/>
        <v/>
      </c>
      <c r="CM93" s="113" t="str">
        <f t="shared" si="73"/>
        <v/>
      </c>
      <c r="CN93" s="114" t="str">
        <f t="shared" si="74"/>
        <v/>
      </c>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row>
    <row r="94" spans="1:121" s="19" customFormat="1" ht="30" customHeight="1" x14ac:dyDescent="0.35">
      <c r="A94" s="4" t="s">
        <v>1166</v>
      </c>
      <c r="B94" s="3" t="s">
        <v>1183</v>
      </c>
      <c r="C94" s="4" t="s">
        <v>1184</v>
      </c>
      <c r="D94" s="4" t="s">
        <v>1185</v>
      </c>
      <c r="E94" s="4" t="s">
        <v>1186</v>
      </c>
      <c r="F94" s="4" t="s">
        <v>1207</v>
      </c>
      <c r="G94" s="4" t="s">
        <v>1208</v>
      </c>
      <c r="H94" s="4" t="s">
        <v>1219</v>
      </c>
      <c r="I94" s="4" t="s">
        <v>26</v>
      </c>
      <c r="J94" s="4" t="s">
        <v>31</v>
      </c>
      <c r="K94" s="4" t="s">
        <v>30</v>
      </c>
      <c r="L94" s="4"/>
      <c r="M94" s="4"/>
      <c r="N94" s="4"/>
      <c r="O94" s="4"/>
      <c r="P94" s="8"/>
      <c r="Q94" s="8" t="s">
        <v>30</v>
      </c>
      <c r="R94" s="4" t="s">
        <v>31</v>
      </c>
      <c r="S94" s="8"/>
      <c r="T94" s="4" t="s">
        <v>31</v>
      </c>
      <c r="U94" s="4" t="s">
        <v>31</v>
      </c>
      <c r="V94" s="4" t="s">
        <v>31</v>
      </c>
      <c r="W94" s="4" t="s">
        <v>1225</v>
      </c>
      <c r="X94" s="4">
        <v>15.31</v>
      </c>
      <c r="Y94" s="4" t="s">
        <v>1228</v>
      </c>
      <c r="Z94" s="4"/>
      <c r="AA94" s="25">
        <f>LOG(135000)</f>
        <v>5.1303337684950066</v>
      </c>
      <c r="AB94" s="4" t="s">
        <v>1232</v>
      </c>
      <c r="AC94" s="4" t="s">
        <v>1239</v>
      </c>
      <c r="AD94" s="10"/>
      <c r="AE94" s="92" cm="1">
        <f t="array" ref="AE94">_xlfn.IFS(COUNTIF(Table14623[[#This Row],[PBT/ vPvB]],"*X*"), 20, TRUE, "")</f>
        <v>20</v>
      </c>
      <c r="AF94" s="93" t="str" cm="1">
        <f t="array" ref="AF94">_xlfn.IFS(COUNTIF(Table14623[[#This Row],[Perturbateur Endocrinien]],"*X*"), 20, TRUE, "")</f>
        <v/>
      </c>
      <c r="AG94" s="93" t="str" cm="1">
        <f t="array" ref="AG94">_xlfn.IFS(COUNTIF(Table14623[[#This Row],[Phrases H]],"*H350*"), 20, TRUE, "")</f>
        <v/>
      </c>
      <c r="AH94" s="93" t="str" cm="1">
        <f t="array" ref="AH94">_xlfn.IFS(COUNTIF(Table14623[[#This Row],[Phrases H]],"*H360*"), 20, TRUE, "")</f>
        <v/>
      </c>
      <c r="AI94" s="93" t="str" cm="1">
        <f t="array" ref="AI94">_xlfn.IFS(COUNTIF(Table14623[[#This Row],[Phrases H]],"*H340*"), 20, TRUE, "")</f>
        <v/>
      </c>
      <c r="AJ94" s="93" t="str" cm="1">
        <f t="array" ref="AJ94">_xlfn.IFS(COUNTIF(Table14623[[#This Row],[Phrases H]],"*H351*"), 10, TRUE, "")</f>
        <v/>
      </c>
      <c r="AK94" s="93" t="str" cm="1">
        <f t="array" ref="AK94">_xlfn.IFS(COUNTIF(Table14623[[#This Row],[Phrases H]],"*H361*"), 10, TRUE, "")</f>
        <v/>
      </c>
      <c r="AL94" s="93" t="str" cm="1">
        <f t="array" ref="AL94">_xlfn.IFS(COUNTIF(Table14623[[#This Row],[Phrases H]],"*H362*"), 10, TRUE, "")</f>
        <v/>
      </c>
      <c r="AM94" s="93" t="str" cm="1">
        <f t="array" ref="AM94">_xlfn.IFS(COUNTIF(Table14623[[#This Row],[Phrases H]],"*H341*"), 10, TRUE, "")</f>
        <v/>
      </c>
      <c r="AN94" s="93" t="str" cm="1">
        <f t="array" ref="AN94">_xlfn.IFS(COUNTIF(Table14623[[#This Row],[Phrases H]],"*H372*"), 10, TRUE, "")</f>
        <v/>
      </c>
      <c r="AO94" s="93" t="str" cm="1">
        <f t="array" ref="AO94">_xlfn.IFS(COUNTIF(Table14623[[#This Row],[Phrases H]],"*H410*"), 10, TRUE, "")</f>
        <v/>
      </c>
      <c r="AP94" s="93" t="str" cm="1">
        <f t="array" ref="AP94">_xlfn.IFS(COUNTIF(Table14623[[#This Row],[Phrases H]],"*H373*"), 5, TRUE, "")</f>
        <v/>
      </c>
      <c r="AQ94" s="93" t="str" cm="1">
        <f t="array" ref="AQ94">_xlfn.IFS(COUNTIF(Table14623[[#This Row],[Phrases H]],"*H411*"), 5, TRUE, "")</f>
        <v/>
      </c>
      <c r="AR94" s="94">
        <f t="shared" si="86"/>
        <v>20</v>
      </c>
      <c r="AS94" s="95"/>
      <c r="AT94" s="144" t="s">
        <v>31</v>
      </c>
      <c r="AU94" s="97" t="s">
        <v>337</v>
      </c>
      <c r="AV94" s="98">
        <f t="shared" si="87"/>
        <v>0</v>
      </c>
      <c r="AW94" s="99" t="str">
        <f t="shared" si="88"/>
        <v>N/A</v>
      </c>
      <c r="AX94" s="95"/>
      <c r="AY94" s="100">
        <f t="shared" si="80"/>
        <v>20</v>
      </c>
      <c r="AZ94" s="17"/>
      <c r="BA94" s="144" t="s">
        <v>31</v>
      </c>
      <c r="BB94" s="101" t="str">
        <f t="shared" si="89"/>
        <v>N/A</v>
      </c>
      <c r="BC94" s="98" t="str">
        <f t="shared" si="90"/>
        <v>N/A</v>
      </c>
      <c r="BD94" s="101">
        <v>5.1303337684950066</v>
      </c>
      <c r="BE94" s="98" t="str">
        <f t="shared" si="83"/>
        <v>Non mobile</v>
      </c>
      <c r="BF94" s="101">
        <v>300.39999999999998</v>
      </c>
      <c r="BG94" s="101" t="s">
        <v>1225</v>
      </c>
      <c r="BH94" s="101">
        <v>15.31</v>
      </c>
      <c r="BI94" s="98" t="str">
        <f t="shared" si="75"/>
        <v>Volatile</v>
      </c>
      <c r="BJ94" s="102" t="s">
        <v>31</v>
      </c>
      <c r="BK94" s="103" t="s">
        <v>341</v>
      </c>
      <c r="BL94" s="17"/>
      <c r="BM94" s="159" t="str">
        <f t="shared" si="84"/>
        <v>20, N/A (0), N/A (solubilité), Non mobile (log Koc), Volatile, N/A,EUROFINS</v>
      </c>
      <c r="BN94" s="17"/>
      <c r="BO94" s="17"/>
      <c r="BP94" s="17"/>
      <c r="BQ94" s="17"/>
      <c r="BR94" s="17"/>
      <c r="BS94" s="17"/>
      <c r="BT94" s="30">
        <v>20</v>
      </c>
      <c r="BU94" s="31" t="s">
        <v>31</v>
      </c>
      <c r="BV94" s="31" t="s">
        <v>31</v>
      </c>
      <c r="BW94" s="31" t="s">
        <v>1080</v>
      </c>
      <c r="BX94" s="31" t="s">
        <v>1255</v>
      </c>
      <c r="BY94" s="31" t="s">
        <v>31</v>
      </c>
      <c r="BZ94" s="32" t="s">
        <v>341</v>
      </c>
      <c r="CA94" s="17"/>
      <c r="CB94" s="105"/>
      <c r="CC94" s="106">
        <v>0</v>
      </c>
      <c r="CD94" s="17"/>
      <c r="CE94" s="107">
        <f t="shared" si="69"/>
        <v>18.666666666666668</v>
      </c>
      <c r="CF94" s="108">
        <f t="shared" si="76"/>
        <v>0.23628691983122366</v>
      </c>
      <c r="CG94" s="17"/>
      <c r="CH94" s="110" t="str">
        <f t="shared" si="77"/>
        <v>Catégorie 2</v>
      </c>
      <c r="CI94" s="111" t="str">
        <f t="shared" si="78"/>
        <v/>
      </c>
      <c r="CJ94" s="112" t="str">
        <f t="shared" si="70"/>
        <v/>
      </c>
      <c r="CK94" s="112" t="str">
        <f t="shared" si="71"/>
        <v/>
      </c>
      <c r="CL94" s="113" t="str">
        <f t="shared" si="72"/>
        <v/>
      </c>
      <c r="CM94" s="113" t="str">
        <f t="shared" si="73"/>
        <v/>
      </c>
      <c r="CN94" s="114" t="str">
        <f t="shared" si="74"/>
        <v/>
      </c>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23"/>
    </row>
    <row r="95" spans="1:121" s="19" customFormat="1" ht="30" customHeight="1" x14ac:dyDescent="0.35">
      <c r="A95" s="4" t="s">
        <v>1166</v>
      </c>
      <c r="B95" s="3" t="s">
        <v>1187</v>
      </c>
      <c r="C95" s="4" t="s">
        <v>1188</v>
      </c>
      <c r="D95" s="4" t="s">
        <v>1189</v>
      </c>
      <c r="E95" s="4" t="s">
        <v>1190</v>
      </c>
      <c r="F95" s="4" t="s">
        <v>1209</v>
      </c>
      <c r="G95" s="4" t="s">
        <v>1210</v>
      </c>
      <c r="H95" s="4" t="s">
        <v>1220</v>
      </c>
      <c r="I95" s="4" t="s">
        <v>26</v>
      </c>
      <c r="J95" s="4" t="s">
        <v>31</v>
      </c>
      <c r="K95" s="4" t="s">
        <v>30</v>
      </c>
      <c r="L95" s="4"/>
      <c r="M95" s="4"/>
      <c r="N95" s="4"/>
      <c r="O95" s="4"/>
      <c r="P95" s="8"/>
      <c r="Q95" s="8" t="s">
        <v>30</v>
      </c>
      <c r="R95" s="4" t="s">
        <v>31</v>
      </c>
      <c r="S95" s="8"/>
      <c r="T95" s="4" t="s">
        <v>31</v>
      </c>
      <c r="U95" s="4" t="s">
        <v>31</v>
      </c>
      <c r="V95" s="4" t="s">
        <v>31</v>
      </c>
      <c r="W95" s="4" t="s">
        <v>1226</v>
      </c>
      <c r="X95" s="4">
        <v>8.8000000000000007</v>
      </c>
      <c r="Y95" s="4">
        <v>7.59</v>
      </c>
      <c r="Z95" s="4"/>
      <c r="AA95" s="25">
        <f>LOG(479000)</f>
        <v>5.6803355134145637</v>
      </c>
      <c r="AB95" s="4" t="s">
        <v>1233</v>
      </c>
      <c r="AC95" s="4" t="s">
        <v>1240</v>
      </c>
      <c r="AD95" s="10"/>
      <c r="AE95" s="92" cm="1">
        <f t="array" ref="AE95">_xlfn.IFS(COUNTIF(Table14623[[#This Row],[PBT/ vPvB]],"*X*"), 20, TRUE, "")</f>
        <v>20</v>
      </c>
      <c r="AF95" s="93" t="str" cm="1">
        <f t="array" ref="AF95">_xlfn.IFS(COUNTIF(Table14623[[#This Row],[Perturbateur Endocrinien]],"*X*"), 20, TRUE, "")</f>
        <v/>
      </c>
      <c r="AG95" s="93" t="str" cm="1">
        <f t="array" ref="AG95">_xlfn.IFS(COUNTIF(Table14623[[#This Row],[Phrases H]],"*H350*"), 20, TRUE, "")</f>
        <v/>
      </c>
      <c r="AH95" s="93" t="str" cm="1">
        <f t="array" ref="AH95">_xlfn.IFS(COUNTIF(Table14623[[#This Row],[Phrases H]],"*H360*"), 20, TRUE, "")</f>
        <v/>
      </c>
      <c r="AI95" s="93" t="str" cm="1">
        <f t="array" ref="AI95">_xlfn.IFS(COUNTIF(Table14623[[#This Row],[Phrases H]],"*H340*"), 20, TRUE, "")</f>
        <v/>
      </c>
      <c r="AJ95" s="93" t="str" cm="1">
        <f t="array" ref="AJ95">_xlfn.IFS(COUNTIF(Table14623[[#This Row],[Phrases H]],"*H351*"), 10, TRUE, "")</f>
        <v/>
      </c>
      <c r="AK95" s="93" t="str" cm="1">
        <f t="array" ref="AK95">_xlfn.IFS(COUNTIF(Table14623[[#This Row],[Phrases H]],"*H361*"), 10, TRUE, "")</f>
        <v/>
      </c>
      <c r="AL95" s="93" t="str" cm="1">
        <f t="array" ref="AL95">_xlfn.IFS(COUNTIF(Table14623[[#This Row],[Phrases H]],"*H362*"), 10, TRUE, "")</f>
        <v/>
      </c>
      <c r="AM95" s="93" t="str" cm="1">
        <f t="array" ref="AM95">_xlfn.IFS(COUNTIF(Table14623[[#This Row],[Phrases H]],"*H341*"), 10, TRUE, "")</f>
        <v/>
      </c>
      <c r="AN95" s="93" t="str" cm="1">
        <f t="array" ref="AN95">_xlfn.IFS(COUNTIF(Table14623[[#This Row],[Phrases H]],"*H372*"), 10, TRUE, "")</f>
        <v/>
      </c>
      <c r="AO95" s="93" t="str" cm="1">
        <f t="array" ref="AO95">_xlfn.IFS(COUNTIF(Table14623[[#This Row],[Phrases H]],"*H410*"), 10, TRUE, "")</f>
        <v/>
      </c>
      <c r="AP95" s="93" t="str" cm="1">
        <f t="array" ref="AP95">_xlfn.IFS(COUNTIF(Table14623[[#This Row],[Phrases H]],"*H373*"), 5, TRUE, "")</f>
        <v/>
      </c>
      <c r="AQ95" s="93" t="str" cm="1">
        <f t="array" ref="AQ95">_xlfn.IFS(COUNTIF(Table14623[[#This Row],[Phrases H]],"*H411*"), 5, TRUE, "")</f>
        <v/>
      </c>
      <c r="AR95" s="94">
        <f t="shared" si="86"/>
        <v>20</v>
      </c>
      <c r="AS95" s="95"/>
      <c r="AT95" s="144" t="s">
        <v>31</v>
      </c>
      <c r="AU95" s="97" t="s">
        <v>337</v>
      </c>
      <c r="AV95" s="98">
        <f t="shared" si="87"/>
        <v>0</v>
      </c>
      <c r="AW95" s="99" t="str">
        <f t="shared" si="88"/>
        <v>N/A</v>
      </c>
      <c r="AX95" s="95"/>
      <c r="AY95" s="100">
        <f t="shared" si="80"/>
        <v>20</v>
      </c>
      <c r="AZ95" s="17"/>
      <c r="BA95" s="144" t="s">
        <v>31</v>
      </c>
      <c r="BB95" s="101" t="str">
        <f t="shared" si="89"/>
        <v>N/A</v>
      </c>
      <c r="BC95" s="98" t="str">
        <f t="shared" si="90"/>
        <v>N/A</v>
      </c>
      <c r="BD95" s="101">
        <v>5.6803355134145637</v>
      </c>
      <c r="BE95" s="98" t="str">
        <f t="shared" si="83"/>
        <v>Non mobile</v>
      </c>
      <c r="BF95" s="101">
        <v>334.8</v>
      </c>
      <c r="BG95" s="101" t="s">
        <v>1226</v>
      </c>
      <c r="BH95" s="101">
        <v>8.8000000000000007</v>
      </c>
      <c r="BI95" s="98" t="str">
        <f t="shared" si="75"/>
        <v>Volatile</v>
      </c>
      <c r="BJ95" s="102" t="s">
        <v>31</v>
      </c>
      <c r="BK95" s="103" t="s">
        <v>341</v>
      </c>
      <c r="BL95" s="17"/>
      <c r="BM95" s="159" t="str">
        <f t="shared" si="84"/>
        <v>20, N/A (0), N/A (solubilité), Non mobile (log Koc), Volatile, N/A,EUROFINS</v>
      </c>
      <c r="BN95" s="17"/>
      <c r="BO95" s="17"/>
      <c r="BP95" s="17"/>
      <c r="BQ95" s="17"/>
      <c r="BR95" s="17"/>
      <c r="BS95" s="17"/>
      <c r="BT95" s="30">
        <v>20</v>
      </c>
      <c r="BU95" s="31" t="s">
        <v>31</v>
      </c>
      <c r="BV95" s="31" t="s">
        <v>31</v>
      </c>
      <c r="BW95" s="31" t="s">
        <v>1080</v>
      </c>
      <c r="BX95" s="31" t="s">
        <v>1255</v>
      </c>
      <c r="BY95" s="31" t="s">
        <v>31</v>
      </c>
      <c r="BZ95" s="32" t="s">
        <v>341</v>
      </c>
      <c r="CA95" s="17"/>
      <c r="CB95" s="105"/>
      <c r="CC95" s="106">
        <v>0</v>
      </c>
      <c r="CD95" s="17"/>
      <c r="CE95" s="107">
        <f t="shared" si="69"/>
        <v>18.666666666666668</v>
      </c>
      <c r="CF95" s="108">
        <f t="shared" si="76"/>
        <v>0.23628691983122366</v>
      </c>
      <c r="CG95" s="17"/>
      <c r="CH95" s="110" t="str">
        <f t="shared" si="77"/>
        <v>Catégorie 2</v>
      </c>
      <c r="CI95" s="111" t="str">
        <f t="shared" si="78"/>
        <v/>
      </c>
      <c r="CJ95" s="112" t="str">
        <f t="shared" si="70"/>
        <v/>
      </c>
      <c r="CK95" s="112" t="str">
        <f t="shared" si="71"/>
        <v/>
      </c>
      <c r="CL95" s="113" t="str">
        <f t="shared" si="72"/>
        <v/>
      </c>
      <c r="CM95" s="113" t="str">
        <f t="shared" si="73"/>
        <v/>
      </c>
      <c r="CN95" s="114" t="str">
        <f t="shared" si="74"/>
        <v/>
      </c>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row>
    <row r="96" spans="1:121" s="19" customFormat="1" ht="30" customHeight="1" x14ac:dyDescent="0.35">
      <c r="A96" s="4" t="s">
        <v>1166</v>
      </c>
      <c r="B96" s="3" t="s">
        <v>1191</v>
      </c>
      <c r="C96" s="4" t="s">
        <v>1192</v>
      </c>
      <c r="D96" s="4" t="s">
        <v>1193</v>
      </c>
      <c r="E96" s="4" t="s">
        <v>1194</v>
      </c>
      <c r="F96" s="4" t="s">
        <v>1211</v>
      </c>
      <c r="G96" s="4" t="s">
        <v>1212</v>
      </c>
      <c r="H96" s="4" t="s">
        <v>1221</v>
      </c>
      <c r="I96" s="4" t="s">
        <v>26</v>
      </c>
      <c r="J96" s="4" t="s">
        <v>31</v>
      </c>
      <c r="K96" s="4" t="s">
        <v>30</v>
      </c>
      <c r="L96" s="4"/>
      <c r="M96" s="4"/>
      <c r="N96" s="4"/>
      <c r="O96" s="4"/>
      <c r="P96" s="8"/>
      <c r="Q96" s="8" t="s">
        <v>30</v>
      </c>
      <c r="R96" s="4" t="s">
        <v>31</v>
      </c>
      <c r="S96" s="8"/>
      <c r="T96" s="4" t="s">
        <v>31</v>
      </c>
      <c r="U96" s="4" t="s">
        <v>31</v>
      </c>
      <c r="V96" s="4">
        <v>262.12299999999999</v>
      </c>
      <c r="W96" s="4">
        <v>2.5964900000000002</v>
      </c>
      <c r="X96" s="4">
        <v>1.43</v>
      </c>
      <c r="Y96" s="4">
        <v>6.86</v>
      </c>
      <c r="Z96" s="4"/>
      <c r="AA96" s="25">
        <f>LOG(1050000)</f>
        <v>6.0211892990699383</v>
      </c>
      <c r="AB96" s="4" t="s">
        <v>1234</v>
      </c>
      <c r="AC96" s="4" t="s">
        <v>1241</v>
      </c>
      <c r="AD96" s="10"/>
      <c r="AE96" s="92" cm="1">
        <f t="array" ref="AE96">_xlfn.IFS(COUNTIF(Table14623[[#This Row],[PBT/ vPvB]],"*X*"), 20, TRUE, "")</f>
        <v>20</v>
      </c>
      <c r="AF96" s="93" t="str" cm="1">
        <f t="array" ref="AF96">_xlfn.IFS(COUNTIF(Table14623[[#This Row],[Perturbateur Endocrinien]],"*X*"), 20, TRUE, "")</f>
        <v/>
      </c>
      <c r="AG96" s="93" t="str" cm="1">
        <f t="array" ref="AG96">_xlfn.IFS(COUNTIF(Table14623[[#This Row],[Phrases H]],"*H350*"), 20, TRUE, "")</f>
        <v/>
      </c>
      <c r="AH96" s="93" t="str" cm="1">
        <f t="array" ref="AH96">_xlfn.IFS(COUNTIF(Table14623[[#This Row],[Phrases H]],"*H360*"), 20, TRUE, "")</f>
        <v/>
      </c>
      <c r="AI96" s="93" t="str" cm="1">
        <f t="array" ref="AI96">_xlfn.IFS(COUNTIF(Table14623[[#This Row],[Phrases H]],"*H340*"), 20, TRUE, "")</f>
        <v/>
      </c>
      <c r="AJ96" s="93" t="str" cm="1">
        <f t="array" ref="AJ96">_xlfn.IFS(COUNTIF(Table14623[[#This Row],[Phrases H]],"*H351*"), 10, TRUE, "")</f>
        <v/>
      </c>
      <c r="AK96" s="93" t="str" cm="1">
        <f t="array" ref="AK96">_xlfn.IFS(COUNTIF(Table14623[[#This Row],[Phrases H]],"*H361*"), 10, TRUE, "")</f>
        <v/>
      </c>
      <c r="AL96" s="93" t="str" cm="1">
        <f t="array" ref="AL96">_xlfn.IFS(COUNTIF(Table14623[[#This Row],[Phrases H]],"*H362*"), 10, TRUE, "")</f>
        <v/>
      </c>
      <c r="AM96" s="93" t="str" cm="1">
        <f t="array" ref="AM96">_xlfn.IFS(COUNTIF(Table14623[[#This Row],[Phrases H]],"*H341*"), 10, TRUE, "")</f>
        <v/>
      </c>
      <c r="AN96" s="93" t="str" cm="1">
        <f t="array" ref="AN96">_xlfn.IFS(COUNTIF(Table14623[[#This Row],[Phrases H]],"*H372*"), 10, TRUE, "")</f>
        <v/>
      </c>
      <c r="AO96" s="93" t="str" cm="1">
        <f t="array" ref="AO96">_xlfn.IFS(COUNTIF(Table14623[[#This Row],[Phrases H]],"*H410*"), 10, TRUE, "")</f>
        <v/>
      </c>
      <c r="AP96" s="93" t="str" cm="1">
        <f t="array" ref="AP96">_xlfn.IFS(COUNTIF(Table14623[[#This Row],[Phrases H]],"*H373*"), 5, TRUE, "")</f>
        <v/>
      </c>
      <c r="AQ96" s="93" t="str" cm="1">
        <f t="array" ref="AQ96">_xlfn.IFS(COUNTIF(Table14623[[#This Row],[Phrases H]],"*H411*"), 5, TRUE, "")</f>
        <v/>
      </c>
      <c r="AR96" s="94">
        <f t="shared" si="86"/>
        <v>20</v>
      </c>
      <c r="AS96" s="95"/>
      <c r="AT96" s="144" t="s">
        <v>31</v>
      </c>
      <c r="AU96" s="97" t="s">
        <v>337</v>
      </c>
      <c r="AV96" s="98">
        <f t="shared" si="87"/>
        <v>0</v>
      </c>
      <c r="AW96" s="99" t="str">
        <f t="shared" si="88"/>
        <v>N/A</v>
      </c>
      <c r="AX96" s="95"/>
      <c r="AY96" s="100">
        <f t="shared" si="80"/>
        <v>20</v>
      </c>
      <c r="AZ96" s="17"/>
      <c r="BA96" s="144">
        <v>262.12299999999999</v>
      </c>
      <c r="BB96" s="101">
        <f t="shared" si="89"/>
        <v>30</v>
      </c>
      <c r="BC96" s="98" t="str">
        <f t="shared" si="90"/>
        <v>Moyennement mobile</v>
      </c>
      <c r="BD96" s="101">
        <v>6.0211892990699383</v>
      </c>
      <c r="BE96" s="98" t="str">
        <f t="shared" si="83"/>
        <v>Non mobile</v>
      </c>
      <c r="BF96" s="101">
        <v>369.3</v>
      </c>
      <c r="BG96" s="101">
        <v>2.5964900000000002</v>
      </c>
      <c r="BH96" s="101">
        <v>1.43</v>
      </c>
      <c r="BI96" s="98" t="str">
        <f t="shared" si="75"/>
        <v>Non volatil</v>
      </c>
      <c r="BJ96" s="102" t="s">
        <v>31</v>
      </c>
      <c r="BK96" s="103" t="s">
        <v>341</v>
      </c>
      <c r="BL96" s="17"/>
      <c r="BM96" s="159" t="str">
        <f t="shared" si="84"/>
        <v>20, N/A (0), Moyennement mobile (solubilité), Non mobile (log Koc), Non volatil, N/A,EUROFINS</v>
      </c>
      <c r="BN96" s="17"/>
      <c r="BO96" s="17"/>
      <c r="BP96" s="17"/>
      <c r="BQ96" s="17"/>
      <c r="BR96" s="17"/>
      <c r="BS96" s="17"/>
      <c r="BT96" s="30">
        <v>20</v>
      </c>
      <c r="BU96" s="31" t="s">
        <v>31</v>
      </c>
      <c r="BV96" s="31" t="s">
        <v>1076</v>
      </c>
      <c r="BW96" s="31" t="s">
        <v>1080</v>
      </c>
      <c r="BX96" s="31" t="s">
        <v>1081</v>
      </c>
      <c r="BY96" s="31" t="s">
        <v>31</v>
      </c>
      <c r="BZ96" s="32" t="s">
        <v>341</v>
      </c>
      <c r="CA96" s="17"/>
      <c r="CB96" s="105"/>
      <c r="CC96" s="106">
        <v>0</v>
      </c>
      <c r="CD96" s="17"/>
      <c r="CE96" s="107">
        <f t="shared" si="69"/>
        <v>18.666666666666668</v>
      </c>
      <c r="CF96" s="108">
        <f t="shared" si="76"/>
        <v>0.23628691983122366</v>
      </c>
      <c r="CG96" s="17"/>
      <c r="CH96" s="110" t="str">
        <f t="shared" si="77"/>
        <v>Catégorie 2</v>
      </c>
      <c r="CI96" s="111" t="str">
        <f t="shared" si="78"/>
        <v/>
      </c>
      <c r="CJ96" s="112" t="str">
        <f t="shared" si="70"/>
        <v/>
      </c>
      <c r="CK96" s="112" t="str">
        <f t="shared" si="71"/>
        <v/>
      </c>
      <c r="CL96" s="113" t="str">
        <f t="shared" si="72"/>
        <v/>
      </c>
      <c r="CM96" s="113" t="str">
        <f t="shared" si="73"/>
        <v/>
      </c>
      <c r="CN96" s="114" t="str">
        <f t="shared" si="74"/>
        <v/>
      </c>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23"/>
    </row>
    <row r="97" spans="1:121" s="19" customFormat="1" ht="30" customHeight="1" thickBot="1" x14ac:dyDescent="0.4">
      <c r="A97" s="4" t="s">
        <v>1166</v>
      </c>
      <c r="B97" s="3" t="s">
        <v>1195</v>
      </c>
      <c r="C97" s="4" t="s">
        <v>1196</v>
      </c>
      <c r="D97" s="4" t="s">
        <v>1197</v>
      </c>
      <c r="E97" s="4" t="s">
        <v>1198</v>
      </c>
      <c r="F97" s="4" t="s">
        <v>1213</v>
      </c>
      <c r="G97" s="4" t="s">
        <v>1214</v>
      </c>
      <c r="H97" s="4" t="s">
        <v>1222</v>
      </c>
      <c r="I97" s="4" t="s">
        <v>26</v>
      </c>
      <c r="J97" s="4" t="s">
        <v>31</v>
      </c>
      <c r="K97" s="4" t="s">
        <v>30</v>
      </c>
      <c r="L97" s="4"/>
      <c r="M97" s="4"/>
      <c r="N97" s="4"/>
      <c r="O97" s="4"/>
      <c r="P97" s="8"/>
      <c r="Q97" s="8" t="s">
        <v>30</v>
      </c>
      <c r="R97" s="4" t="s">
        <v>31</v>
      </c>
      <c r="S97" s="8"/>
      <c r="T97" s="4" t="s">
        <v>114</v>
      </c>
      <c r="U97" s="4" t="s">
        <v>31</v>
      </c>
      <c r="V97" s="4">
        <v>80</v>
      </c>
      <c r="W97" s="4" t="s">
        <v>1226</v>
      </c>
      <c r="X97" s="4">
        <v>1.1100000000000001</v>
      </c>
      <c r="Y97" s="4">
        <v>8.5</v>
      </c>
      <c r="Z97" s="4"/>
      <c r="AA97" s="25">
        <f>LOG(776000)</f>
        <v>5.8898617212581881</v>
      </c>
      <c r="AB97" s="4" t="s">
        <v>1235</v>
      </c>
      <c r="AC97" s="4" t="s">
        <v>1242</v>
      </c>
      <c r="AD97" s="10"/>
      <c r="AE97" s="196" cm="1">
        <f t="array" ref="AE97">_xlfn.IFS(COUNTIF(Table14623[[#This Row],[PBT/ vPvB]],"*X*"), 20, TRUE, "")</f>
        <v>20</v>
      </c>
      <c r="AF97" s="197" t="str" cm="1">
        <f t="array" ref="AF97">_xlfn.IFS(COUNTIF(Table14623[[#This Row],[Perturbateur Endocrinien]],"*X*"), 20, TRUE, "")</f>
        <v/>
      </c>
      <c r="AG97" s="197" t="str" cm="1">
        <f t="array" ref="AG97">_xlfn.IFS(COUNTIF(Table14623[[#This Row],[Phrases H]],"*H350*"), 20, TRUE, "")</f>
        <v/>
      </c>
      <c r="AH97" s="197" t="str" cm="1">
        <f t="array" ref="AH97">_xlfn.IFS(COUNTIF(Table14623[[#This Row],[Phrases H]],"*H360*"), 20, TRUE, "")</f>
        <v/>
      </c>
      <c r="AI97" s="197" t="str" cm="1">
        <f t="array" ref="AI97">_xlfn.IFS(COUNTIF(Table14623[[#This Row],[Phrases H]],"*H340*"), 20, TRUE, "")</f>
        <v/>
      </c>
      <c r="AJ97" s="197" t="str" cm="1">
        <f t="array" ref="AJ97">_xlfn.IFS(COUNTIF(Table14623[[#This Row],[Phrases H]],"*H351*"), 10, TRUE, "")</f>
        <v/>
      </c>
      <c r="AK97" s="197" t="str" cm="1">
        <f t="array" ref="AK97">_xlfn.IFS(COUNTIF(Table14623[[#This Row],[Phrases H]],"*H361*"), 10, TRUE, "")</f>
        <v/>
      </c>
      <c r="AL97" s="197" t="str" cm="1">
        <f t="array" ref="AL97">_xlfn.IFS(COUNTIF(Table14623[[#This Row],[Phrases H]],"*H362*"), 10, TRUE, "")</f>
        <v/>
      </c>
      <c r="AM97" s="197" t="str" cm="1">
        <f t="array" ref="AM97">_xlfn.IFS(COUNTIF(Table14623[[#This Row],[Phrases H]],"*H341*"), 10, TRUE, "")</f>
        <v/>
      </c>
      <c r="AN97" s="197" t="str" cm="1">
        <f t="array" ref="AN97">_xlfn.IFS(COUNTIF(Table14623[[#This Row],[Phrases H]],"*H372*"), 10, TRUE, "")</f>
        <v/>
      </c>
      <c r="AO97" s="197" t="str" cm="1">
        <f t="array" ref="AO97">_xlfn.IFS(COUNTIF(Table14623[[#This Row],[Phrases H]],"*H410*"), 10, TRUE, "")</f>
        <v/>
      </c>
      <c r="AP97" s="197" t="str" cm="1">
        <f t="array" ref="AP97">_xlfn.IFS(COUNTIF(Table14623[[#This Row],[Phrases H]],"*H373*"), 5, TRUE, "")</f>
        <v/>
      </c>
      <c r="AQ97" s="197" t="str" cm="1">
        <f t="array" ref="AQ97">_xlfn.IFS(COUNTIF(Table14623[[#This Row],[Phrases H]],"*H411*"), 5, TRUE, "")</f>
        <v/>
      </c>
      <c r="AR97" s="198">
        <f t="shared" si="86"/>
        <v>20</v>
      </c>
      <c r="AS97" s="95"/>
      <c r="AT97" s="154" t="s">
        <v>31</v>
      </c>
      <c r="AU97" s="169" t="s">
        <v>337</v>
      </c>
      <c r="AV97" s="156">
        <f t="shared" si="87"/>
        <v>0</v>
      </c>
      <c r="AW97" s="170" t="str">
        <f t="shared" si="88"/>
        <v>N/A</v>
      </c>
      <c r="AX97" s="95"/>
      <c r="AY97" s="200">
        <f t="shared" si="80"/>
        <v>20</v>
      </c>
      <c r="AZ97" s="17"/>
      <c r="BA97" s="154">
        <v>80</v>
      </c>
      <c r="BB97" s="155">
        <f t="shared" si="89"/>
        <v>30</v>
      </c>
      <c r="BC97" s="156" t="str">
        <f t="shared" si="90"/>
        <v>Moyennement mobile</v>
      </c>
      <c r="BD97" s="155">
        <v>5.8898617212581881</v>
      </c>
      <c r="BE97" s="156" t="str">
        <f t="shared" si="83"/>
        <v>Non mobile</v>
      </c>
      <c r="BF97" s="155">
        <v>403.7</v>
      </c>
      <c r="BG97" s="155" t="s">
        <v>1226</v>
      </c>
      <c r="BH97" s="155">
        <v>1.1100000000000001</v>
      </c>
      <c r="BI97" s="156" t="str">
        <f t="shared" si="75"/>
        <v>Volatile</v>
      </c>
      <c r="BJ97" s="157" t="s">
        <v>31</v>
      </c>
      <c r="BK97" s="158" t="s">
        <v>341</v>
      </c>
      <c r="BL97" s="17"/>
      <c r="BM97" s="171" t="str">
        <f t="shared" si="84"/>
        <v>20, N/A (0), Moyennement mobile (solubilité), Non mobile (log Koc), Volatile, N/A,EUROFINS</v>
      </c>
      <c r="BN97" s="17"/>
      <c r="BO97" s="17"/>
      <c r="BP97" s="17"/>
      <c r="BQ97" s="17"/>
      <c r="BR97" s="17"/>
      <c r="BS97" s="17"/>
      <c r="BT97" s="44">
        <v>20</v>
      </c>
      <c r="BU97" s="45" t="s">
        <v>31</v>
      </c>
      <c r="BV97" s="45" t="s">
        <v>1076</v>
      </c>
      <c r="BW97" s="45" t="s">
        <v>1080</v>
      </c>
      <c r="BX97" s="45" t="s">
        <v>1255</v>
      </c>
      <c r="BY97" s="45" t="s">
        <v>31</v>
      </c>
      <c r="BZ97" s="49" t="s">
        <v>341</v>
      </c>
      <c r="CA97" s="17"/>
      <c r="CB97" s="201"/>
      <c r="CC97" s="202">
        <v>0</v>
      </c>
      <c r="CD97" s="17"/>
      <c r="CE97" s="162">
        <f t="shared" si="69"/>
        <v>18.666666666666668</v>
      </c>
      <c r="CF97" s="163">
        <f t="shared" si="76"/>
        <v>0.23628691983122366</v>
      </c>
      <c r="CG97" s="17"/>
      <c r="CH97" s="164" t="str">
        <f t="shared" si="77"/>
        <v>Catégorie 2</v>
      </c>
      <c r="CI97" s="165" t="str">
        <f t="shared" si="78"/>
        <v/>
      </c>
      <c r="CJ97" s="166" t="str">
        <f t="shared" si="70"/>
        <v/>
      </c>
      <c r="CK97" s="166" t="str">
        <f t="shared" si="71"/>
        <v/>
      </c>
      <c r="CL97" s="167" t="str">
        <f t="shared" si="72"/>
        <v/>
      </c>
      <c r="CM97" s="167" t="str">
        <f t="shared" si="73"/>
        <v/>
      </c>
      <c r="CN97" s="168" t="str">
        <f t="shared" si="74"/>
        <v/>
      </c>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row>
    <row r="98" spans="1:121" s="19" customFormat="1" ht="30" customHeight="1" thickBot="1" x14ac:dyDescent="0.4">
      <c r="A98" s="4" t="s">
        <v>1243</v>
      </c>
      <c r="B98" s="3" t="s">
        <v>1244</v>
      </c>
      <c r="C98" s="4" t="s">
        <v>1245</v>
      </c>
      <c r="D98" s="4" t="s">
        <v>1246</v>
      </c>
      <c r="E98" s="4" t="s">
        <v>1247</v>
      </c>
      <c r="F98" s="18" t="s">
        <v>1248</v>
      </c>
      <c r="G98" s="10" t="s">
        <v>1249</v>
      </c>
      <c r="H98" s="4"/>
      <c r="I98" s="4"/>
      <c r="J98" s="11" t="s">
        <v>1250</v>
      </c>
      <c r="K98" s="11" t="s">
        <v>30</v>
      </c>
      <c r="L98" s="11"/>
      <c r="M98" s="11"/>
      <c r="N98" s="11" t="s">
        <v>30</v>
      </c>
      <c r="O98" s="11"/>
      <c r="P98" s="11"/>
      <c r="Q98" s="11" t="s">
        <v>30</v>
      </c>
      <c r="R98" s="11" t="s">
        <v>1276</v>
      </c>
      <c r="S98" s="11"/>
      <c r="T98" s="11" t="s">
        <v>1251</v>
      </c>
      <c r="U98" s="11" t="s">
        <v>52</v>
      </c>
      <c r="V98" s="11">
        <v>0.47</v>
      </c>
      <c r="W98" s="11">
        <v>2.1000000000000001E-2</v>
      </c>
      <c r="X98" s="11" t="s">
        <v>31</v>
      </c>
      <c r="Y98" s="11" t="s">
        <v>1252</v>
      </c>
      <c r="Z98" s="4"/>
      <c r="AA98" s="21">
        <v>5.3</v>
      </c>
      <c r="AB98" s="11">
        <v>199500</v>
      </c>
      <c r="AC98" s="11" t="s">
        <v>1253</v>
      </c>
      <c r="AD98" s="10"/>
      <c r="AE98" s="172" cm="1">
        <f t="array" ref="AE98">_xlfn.IFS(COUNTIF(Table14623[[#This Row],[PBT/ vPvB]],"*X*"), 20, TRUE, "")</f>
        <v>20</v>
      </c>
      <c r="AF98" s="173" t="str" cm="1">
        <f t="array" ref="AF98">_xlfn.IFS(COUNTIF(Table14623[[#This Row],[Perturbateur Endocrinien]],"*X*"), 20, TRUE, "")</f>
        <v/>
      </c>
      <c r="AG98" s="173" t="str" cm="1">
        <f t="array" ref="AG98">_xlfn.IFS(COUNTIF(Table14623[[#This Row],[Phrases H]],"*H350*"), 20, TRUE, "")</f>
        <v/>
      </c>
      <c r="AH98" s="173" t="str" cm="1">
        <f t="array" ref="AH98">_xlfn.IFS(COUNTIF(Table14623[[#This Row],[Phrases H]],"*H360*"), 20, TRUE, "")</f>
        <v/>
      </c>
      <c r="AI98" s="173" t="str" cm="1">
        <f t="array" ref="AI98">_xlfn.IFS(COUNTIF(Table14623[[#This Row],[Phrases H]],"*H340*"), 20, TRUE, "")</f>
        <v/>
      </c>
      <c r="AJ98" s="173" cm="1">
        <f t="array" ref="AJ98">_xlfn.IFS(COUNTIF(Table14623[[#This Row],[Phrases H]],"*H351*"), 10, TRUE, "")</f>
        <v>10</v>
      </c>
      <c r="AK98" s="173" t="str" cm="1">
        <f t="array" ref="AK98">_xlfn.IFS(COUNTIF(Table14623[[#This Row],[Phrases H]],"*H361*"), 10, TRUE, "")</f>
        <v/>
      </c>
      <c r="AL98" s="173" t="str" cm="1">
        <f t="array" ref="AL98">_xlfn.IFS(COUNTIF(Table14623[[#This Row],[Phrases H]],"*H362*"), 10, TRUE, "")</f>
        <v/>
      </c>
      <c r="AM98" s="173" t="str" cm="1">
        <f t="array" ref="AM98">_xlfn.IFS(COUNTIF(Table14623[[#This Row],[Phrases H]],"*H341*"), 10, TRUE, "")</f>
        <v/>
      </c>
      <c r="AN98" s="173" t="str" cm="1">
        <f t="array" ref="AN98">_xlfn.IFS(COUNTIF(Table14623[[#This Row],[Phrases H]],"*H372*"), 10, TRUE, "")</f>
        <v/>
      </c>
      <c r="AO98" s="173" cm="1">
        <f t="array" ref="AO98">_xlfn.IFS(COUNTIF(Table14623[[#This Row],[Phrases H]],"*H410*"), 10, TRUE, "")</f>
        <v>10</v>
      </c>
      <c r="AP98" s="173" t="str" cm="1">
        <f t="array" ref="AP98">_xlfn.IFS(COUNTIF(Table14623[[#This Row],[Phrases H]],"*H373*"), 5, TRUE, "")</f>
        <v/>
      </c>
      <c r="AQ98" s="173" t="str" cm="1">
        <f t="array" ref="AQ98">_xlfn.IFS(COUNTIF(Table14623[[#This Row],[Phrases H]],"*H411*"), 5, TRUE, "")</f>
        <v/>
      </c>
      <c r="AR98" s="174">
        <f t="shared" ref="AR98" si="91">SUM(AE98:AQ98)</f>
        <v>40</v>
      </c>
      <c r="AS98" s="95"/>
      <c r="AT98" s="180" t="s">
        <v>31</v>
      </c>
      <c r="AU98" s="203" t="s">
        <v>337</v>
      </c>
      <c r="AV98" s="182">
        <f t="shared" ref="AV98" si="92">IF(AT98="N/A",0,IF(AT98&lt;=10,5,IF(AT98&lt;=100,10,IF(AT98&lt;=1000,15,IF(AT98&lt;=10000,20,25)))))</f>
        <v>0</v>
      </c>
      <c r="AW98" s="204" t="str">
        <f t="shared" ref="AW98" si="93">IF(AV98=25,"Production très élevée",IF(AV98=20,"Production élevée",IF(AV98=15,"Production modérée",IF(AV98=10,"Faible production",IF(AV98=5,"Très faible production","N/A")))))</f>
        <v>N/A</v>
      </c>
      <c r="AX98" s="95"/>
      <c r="AY98" s="205">
        <f t="shared" ref="AY98" si="94">AR98+AV98</f>
        <v>40</v>
      </c>
      <c r="AZ98" s="17"/>
      <c r="BA98" s="180">
        <v>0.47</v>
      </c>
      <c r="BB98" s="181">
        <f t="shared" ref="BB98" si="95">IF(BA98="N/A","N/A",IF(BA98&gt;=100000,50,(IF(BA98&gt;=1000,40,(IF(BA98&gt;=10,30,(IF(BA98&gt;0.1,20,(IF(BA98&lt;0.1,10,0))))))))))</f>
        <v>20</v>
      </c>
      <c r="BC98" s="182" t="str">
        <f t="shared" ref="BC98" si="96">IF(BB98="N/A","N/A",IF(BB98=50,"Très mobile",IF(BB98=40,"Mobile",IF(BB98=30,"Moyennement mobile",IF(BB98=20,"Peu mobile",IF(BB98=10,"Très peu mobile",""))))))</f>
        <v>Peu mobile</v>
      </c>
      <c r="BD98" s="181">
        <v>5.3</v>
      </c>
      <c r="BE98" s="182" t="str">
        <f t="shared" ref="BE98" si="97">IF(BD98="N/A","N/A",IF(BD98&lt;2,"Très mobile",IF(BD98&lt;3,"Mobile","Non mobile")))</f>
        <v>Non mobile</v>
      </c>
      <c r="BF98" s="181" t="s">
        <v>1254</v>
      </c>
      <c r="BG98" s="181">
        <v>2.1000000000000001E-2</v>
      </c>
      <c r="BH98" s="181" t="s">
        <v>31</v>
      </c>
      <c r="BI98" s="182" t="str">
        <f t="shared" ref="BI98" si="98">IF(OR(BF98="N/A",BG98="N/A",BH98="N/A"),"N/A",IF(AND(BF98&gt;200,BG98&gt;67,BH98&gt;0.5),"Volatile","Non volatil"))</f>
        <v>N/A</v>
      </c>
      <c r="BJ98" s="183" t="s">
        <v>1276</v>
      </c>
      <c r="BK98" s="184" t="s">
        <v>341</v>
      </c>
      <c r="BL98" s="17"/>
      <c r="BM98" s="185" t="str">
        <f t="shared" ref="BM98" si="99">_xlfn.CONCAT(AR98,", ",AW98," (",AV98,")",", ",BC98," (solubilité), ",BE98," (log Koc), ",,BI98,", ",BJ98,",",BK98)</f>
        <v>40, N/A (0), Peu mobile (solubilité), Non mobile (log Koc), N/A, non facilement biodégradable,EUROFINS</v>
      </c>
      <c r="BN98" s="17"/>
      <c r="BO98" s="17"/>
      <c r="BP98" s="17"/>
      <c r="BQ98" s="17"/>
      <c r="BR98" s="17"/>
      <c r="BS98" s="17"/>
      <c r="BT98" s="46">
        <v>40</v>
      </c>
      <c r="BU98" s="47" t="s">
        <v>31</v>
      </c>
      <c r="BV98" s="47" t="s">
        <v>1078</v>
      </c>
      <c r="BW98" s="47" t="s">
        <v>1080</v>
      </c>
      <c r="BX98" s="47" t="s">
        <v>31</v>
      </c>
      <c r="BY98" s="47" t="s">
        <v>1276</v>
      </c>
      <c r="BZ98" s="48" t="s">
        <v>341</v>
      </c>
      <c r="CA98" s="17"/>
      <c r="CB98" s="210"/>
      <c r="CC98" s="211"/>
      <c r="CD98" s="17"/>
      <c r="CE98" s="212"/>
      <c r="CF98" s="213"/>
      <c r="CG98" s="17"/>
      <c r="CH98" s="214"/>
      <c r="CI98" s="215"/>
      <c r="CJ98" s="216"/>
      <c r="CK98" s="216"/>
      <c r="CL98" s="217"/>
      <c r="CM98" s="217"/>
      <c r="CN98" s="218"/>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row>
    <row r="99" spans="1:121" s="19" customFormat="1" ht="30" customHeight="1" thickBot="1" x14ac:dyDescent="0.4">
      <c r="A99" s="222" t="s">
        <v>996</v>
      </c>
      <c r="B99" s="223" t="s">
        <v>1269</v>
      </c>
      <c r="C99" s="223" t="s">
        <v>1270</v>
      </c>
      <c r="D99" s="223" t="s">
        <v>1271</v>
      </c>
      <c r="E99" s="223" t="s">
        <v>1268</v>
      </c>
      <c r="F99" s="18"/>
      <c r="G99" s="10"/>
      <c r="H99" s="4"/>
      <c r="I99" s="4"/>
      <c r="J99" s="11"/>
      <c r="K99" s="11"/>
      <c r="L99" s="11"/>
      <c r="M99" s="11"/>
      <c r="N99" s="11"/>
      <c r="O99" s="11"/>
      <c r="P99" s="11"/>
      <c r="Q99" s="11"/>
      <c r="R99" s="11"/>
      <c r="S99" s="11"/>
      <c r="T99" s="11"/>
      <c r="U99" s="11"/>
      <c r="V99" s="11"/>
      <c r="W99" s="11"/>
      <c r="X99" s="11"/>
      <c r="Y99" s="11"/>
      <c r="Z99" s="4"/>
      <c r="AA99" s="21"/>
      <c r="AB99" s="11"/>
      <c r="AC99" s="11"/>
      <c r="AD99" s="10"/>
      <c r="AE99" s="172"/>
      <c r="AF99" s="173"/>
      <c r="AG99" s="173"/>
      <c r="AH99" s="173"/>
      <c r="AI99" s="173"/>
      <c r="AJ99" s="173"/>
      <c r="AK99" s="173"/>
      <c r="AL99" s="173"/>
      <c r="AM99" s="173"/>
      <c r="AN99" s="173"/>
      <c r="AO99" s="173"/>
      <c r="AP99" s="173"/>
      <c r="AQ99" s="173"/>
      <c r="AR99" s="174"/>
      <c r="AS99" s="95"/>
      <c r="AT99" s="180"/>
      <c r="AU99" s="203"/>
      <c r="AV99" s="182"/>
      <c r="AW99" s="204"/>
      <c r="AX99" s="95"/>
      <c r="AY99" s="205"/>
      <c r="AZ99" s="17"/>
      <c r="BA99" s="180"/>
      <c r="BB99" s="181"/>
      <c r="BC99" s="182"/>
      <c r="BD99" s="181"/>
      <c r="BE99" s="182"/>
      <c r="BF99" s="181"/>
      <c r="BG99" s="181"/>
      <c r="BH99" s="181"/>
      <c r="BI99" s="182"/>
      <c r="BJ99" s="183"/>
      <c r="BK99" s="184"/>
      <c r="BL99" s="17"/>
      <c r="BM99" s="185"/>
      <c r="BN99" s="17"/>
      <c r="BO99" s="17"/>
      <c r="BP99" s="17"/>
      <c r="BQ99" s="17"/>
      <c r="BR99" s="17"/>
      <c r="BS99" s="17"/>
      <c r="BT99" s="219">
        <v>30</v>
      </c>
      <c r="BU99" s="220" t="s">
        <v>1073</v>
      </c>
      <c r="BV99" s="220" t="s">
        <v>1079</v>
      </c>
      <c r="BW99" s="220" t="s">
        <v>1080</v>
      </c>
      <c r="BX99" s="220" t="s">
        <v>1255</v>
      </c>
      <c r="BY99" s="220" t="s">
        <v>1277</v>
      </c>
      <c r="BZ99" s="221" t="s">
        <v>31</v>
      </c>
      <c r="CA99" s="17"/>
      <c r="CB99" s="186" t="s">
        <v>1259</v>
      </c>
      <c r="CC99" s="187">
        <v>2</v>
      </c>
      <c r="CD99" s="17"/>
      <c r="CE99" s="188">
        <f t="shared" si="69"/>
        <v>10</v>
      </c>
      <c r="CF99" s="189">
        <f t="shared" si="76"/>
        <v>0.12658227848101267</v>
      </c>
      <c r="CG99" s="17"/>
      <c r="CH99" s="190" t="str">
        <f t="shared" si="77"/>
        <v>Catégorie 1</v>
      </c>
      <c r="CI99" s="191" t="str">
        <f t="shared" si="78"/>
        <v>c</v>
      </c>
      <c r="CJ99" s="192" t="str">
        <f t="shared" si="70"/>
        <v/>
      </c>
      <c r="CK99" s="192" t="str">
        <f t="shared" si="71"/>
        <v/>
      </c>
      <c r="CL99" s="193" t="str">
        <f t="shared" si="72"/>
        <v/>
      </c>
      <c r="CM99" s="193" t="str">
        <f t="shared" si="73"/>
        <v/>
      </c>
      <c r="CN99" s="194" t="str">
        <f t="shared" si="74"/>
        <v/>
      </c>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23"/>
    </row>
    <row r="100" spans="1:121" ht="30" customHeight="1" x14ac:dyDescent="0.35">
      <c r="J100" s="17"/>
      <c r="Q100" s="17"/>
      <c r="R100" s="10"/>
      <c r="S100" s="17"/>
      <c r="T100" s="17"/>
      <c r="U100" s="17"/>
    </row>
    <row r="101" spans="1:121" ht="30" customHeight="1" x14ac:dyDescent="0.35">
      <c r="J101" s="17"/>
      <c r="Q101" s="17"/>
      <c r="R101" s="10"/>
      <c r="S101" s="17"/>
      <c r="T101" s="17"/>
      <c r="U101" s="17"/>
    </row>
    <row r="102" spans="1:121" ht="30" customHeight="1" x14ac:dyDescent="0.35">
      <c r="J102" s="17"/>
      <c r="Q102" s="17"/>
      <c r="R102" s="10"/>
      <c r="S102" s="17"/>
      <c r="T102" s="17"/>
      <c r="U102" s="17"/>
    </row>
    <row r="103" spans="1:121" ht="30" customHeight="1" x14ac:dyDescent="0.35">
      <c r="J103" s="17"/>
      <c r="Q103" s="17"/>
      <c r="R103" s="10"/>
      <c r="S103" s="17"/>
      <c r="T103" s="17"/>
      <c r="U103" s="17"/>
    </row>
    <row r="104" spans="1:121" ht="30" customHeight="1" x14ac:dyDescent="0.35">
      <c r="J104" s="17"/>
      <c r="Q104" s="17"/>
      <c r="R104" s="10"/>
      <c r="S104" s="17"/>
      <c r="T104" s="17"/>
      <c r="U104" s="17"/>
    </row>
    <row r="105" spans="1:121" ht="30" customHeight="1" x14ac:dyDescent="0.35">
      <c r="J105" s="17"/>
      <c r="Q105" s="17"/>
      <c r="R105" s="10"/>
      <c r="S105" s="17"/>
      <c r="T105" s="17"/>
      <c r="U105" s="17"/>
    </row>
    <row r="106" spans="1:121" ht="30" customHeight="1" x14ac:dyDescent="0.35">
      <c r="J106" s="17"/>
      <c r="Q106" s="17"/>
      <c r="R106" s="10"/>
      <c r="S106" s="17"/>
      <c r="T106" s="17"/>
      <c r="U106" s="17"/>
    </row>
    <row r="107" spans="1:121" ht="30" customHeight="1" x14ac:dyDescent="0.35">
      <c r="J107" s="17"/>
      <c r="Q107" s="17"/>
      <c r="R107" s="10"/>
      <c r="S107" s="17"/>
      <c r="T107" s="17"/>
      <c r="U107" s="17"/>
    </row>
    <row r="108" spans="1:121" ht="30" customHeight="1" x14ac:dyDescent="0.35">
      <c r="J108" s="17"/>
      <c r="Q108" s="17"/>
      <c r="R108" s="10"/>
      <c r="S108" s="17"/>
      <c r="T108" s="17"/>
      <c r="U108" s="17"/>
    </row>
    <row r="109" spans="1:121" ht="30" customHeight="1" x14ac:dyDescent="0.35">
      <c r="J109" s="17"/>
      <c r="Q109" s="17"/>
      <c r="R109" s="10"/>
      <c r="S109" s="17"/>
      <c r="T109" s="17"/>
      <c r="U109" s="17"/>
    </row>
    <row r="110" spans="1:121" ht="30" customHeight="1" x14ac:dyDescent="0.35">
      <c r="J110" s="17"/>
      <c r="Q110" s="17"/>
      <c r="R110" s="10"/>
      <c r="S110" s="17"/>
      <c r="T110" s="17"/>
      <c r="U110" s="17"/>
    </row>
    <row r="111" spans="1:121" ht="30" customHeight="1" x14ac:dyDescent="0.35">
      <c r="J111" s="17"/>
      <c r="Q111" s="17"/>
      <c r="R111" s="10"/>
      <c r="S111" s="17"/>
      <c r="T111" s="17"/>
      <c r="U111" s="17"/>
    </row>
    <row r="112" spans="1:121" ht="30" customHeight="1" x14ac:dyDescent="0.35">
      <c r="J112" s="17"/>
      <c r="Q112" s="17"/>
      <c r="R112" s="10"/>
      <c r="S112" s="17"/>
      <c r="T112" s="17"/>
      <c r="U112" s="17"/>
    </row>
    <row r="113" spans="10:21" ht="30" customHeight="1" x14ac:dyDescent="0.35">
      <c r="J113" s="17"/>
      <c r="Q113" s="17"/>
      <c r="R113" s="10"/>
      <c r="S113" s="17"/>
      <c r="T113" s="17"/>
      <c r="U113" s="17"/>
    </row>
    <row r="114" spans="10:21" ht="30" customHeight="1" x14ac:dyDescent="0.35">
      <c r="J114" s="17"/>
      <c r="Q114" s="17"/>
      <c r="R114" s="10"/>
      <c r="S114" s="17"/>
      <c r="T114" s="17"/>
      <c r="U114" s="17"/>
    </row>
    <row r="115" spans="10:21" ht="30" customHeight="1" x14ac:dyDescent="0.35">
      <c r="J115" s="17"/>
      <c r="Q115" s="17"/>
      <c r="R115" s="10"/>
      <c r="S115" s="17"/>
      <c r="T115" s="17"/>
      <c r="U115" s="17"/>
    </row>
    <row r="116" spans="10:21" ht="30" customHeight="1" x14ac:dyDescent="0.35">
      <c r="J116" s="17"/>
      <c r="Q116" s="17"/>
      <c r="R116" s="10"/>
      <c r="S116" s="17"/>
      <c r="T116" s="17"/>
      <c r="U116" s="17"/>
    </row>
    <row r="117" spans="10:21" ht="30" customHeight="1" x14ac:dyDescent="0.35">
      <c r="J117" s="17"/>
      <c r="Q117" s="17"/>
      <c r="R117" s="10"/>
      <c r="S117" s="17"/>
      <c r="T117" s="17"/>
      <c r="U117" s="17"/>
    </row>
    <row r="118" spans="10:21" ht="30" customHeight="1" x14ac:dyDescent="0.35">
      <c r="J118" s="17"/>
      <c r="Q118" s="17"/>
      <c r="R118" s="10"/>
      <c r="S118" s="17"/>
      <c r="T118" s="17"/>
      <c r="U118" s="17"/>
    </row>
    <row r="119" spans="10:21" ht="30" customHeight="1" x14ac:dyDescent="0.35">
      <c r="J119" s="17"/>
      <c r="Q119" s="17"/>
      <c r="R119" s="10"/>
      <c r="S119" s="17"/>
      <c r="T119" s="17"/>
      <c r="U119" s="17"/>
    </row>
    <row r="120" spans="10:21" ht="30" customHeight="1" x14ac:dyDescent="0.35">
      <c r="J120" s="17"/>
      <c r="Q120" s="17"/>
      <c r="R120" s="10"/>
      <c r="S120" s="17"/>
      <c r="T120" s="17"/>
      <c r="U120" s="17"/>
    </row>
    <row r="121" spans="10:21" ht="30" customHeight="1" x14ac:dyDescent="0.35">
      <c r="J121" s="17"/>
      <c r="Q121" s="17"/>
      <c r="R121" s="10"/>
      <c r="S121" s="17"/>
      <c r="T121" s="17"/>
      <c r="U121" s="17"/>
    </row>
    <row r="122" spans="10:21" ht="30" customHeight="1" x14ac:dyDescent="0.35">
      <c r="J122" s="17"/>
      <c r="Q122" s="17"/>
      <c r="R122" s="10"/>
      <c r="S122" s="17"/>
      <c r="T122" s="17"/>
      <c r="U122" s="17"/>
    </row>
    <row r="123" spans="10:21" ht="30" customHeight="1" x14ac:dyDescent="0.35">
      <c r="J123" s="17"/>
      <c r="Q123" s="17"/>
      <c r="R123" s="10"/>
      <c r="S123" s="17"/>
      <c r="T123" s="17"/>
      <c r="U123" s="17"/>
    </row>
    <row r="124" spans="10:21" ht="30" customHeight="1" x14ac:dyDescent="0.35">
      <c r="J124" s="17"/>
      <c r="Q124" s="17"/>
      <c r="R124" s="10"/>
      <c r="S124" s="17"/>
      <c r="T124" s="17"/>
      <c r="U124" s="17"/>
    </row>
    <row r="125" spans="10:21" ht="30" customHeight="1" x14ac:dyDescent="0.35">
      <c r="J125" s="17"/>
      <c r="Q125" s="17"/>
      <c r="R125" s="10"/>
      <c r="S125" s="17"/>
      <c r="T125" s="17"/>
      <c r="U125" s="17"/>
    </row>
    <row r="126" spans="10:21" ht="30" customHeight="1" x14ac:dyDescent="0.35">
      <c r="J126" s="17"/>
      <c r="Q126" s="17"/>
      <c r="R126" s="10"/>
      <c r="S126" s="17"/>
      <c r="T126" s="17"/>
      <c r="U126" s="17"/>
    </row>
    <row r="127" spans="10:21" ht="30" customHeight="1" x14ac:dyDescent="0.35">
      <c r="J127" s="17"/>
      <c r="Q127" s="17"/>
      <c r="R127" s="10"/>
      <c r="S127" s="17"/>
      <c r="T127" s="17"/>
      <c r="U127" s="17"/>
    </row>
    <row r="128" spans="10:21" ht="30" customHeight="1" x14ac:dyDescent="0.35">
      <c r="J128" s="17"/>
      <c r="Q128" s="17"/>
      <c r="R128" s="10"/>
      <c r="S128" s="17"/>
      <c r="T128" s="17"/>
      <c r="U128" s="17"/>
    </row>
    <row r="129" spans="10:21" ht="30" customHeight="1" x14ac:dyDescent="0.35">
      <c r="J129" s="17"/>
      <c r="Q129" s="17"/>
      <c r="R129" s="10"/>
      <c r="S129" s="17"/>
      <c r="T129" s="17"/>
      <c r="U129" s="17"/>
    </row>
    <row r="130" spans="10:21" ht="30" customHeight="1" x14ac:dyDescent="0.35">
      <c r="J130" s="17"/>
      <c r="Q130" s="17"/>
      <c r="R130" s="10"/>
      <c r="S130" s="17"/>
      <c r="T130" s="17"/>
      <c r="U130" s="17"/>
    </row>
    <row r="131" spans="10:21" ht="30" customHeight="1" x14ac:dyDescent="0.35">
      <c r="J131" s="17"/>
      <c r="Q131" s="17"/>
      <c r="R131" s="10"/>
      <c r="S131" s="17"/>
      <c r="T131" s="17"/>
      <c r="U131" s="17"/>
    </row>
    <row r="132" spans="10:21" ht="30" customHeight="1" x14ac:dyDescent="0.35">
      <c r="J132" s="17"/>
      <c r="Q132" s="17"/>
      <c r="R132" s="10"/>
      <c r="S132" s="17"/>
      <c r="T132" s="17"/>
      <c r="U132" s="17"/>
    </row>
    <row r="133" spans="10:21" ht="30" customHeight="1" x14ac:dyDescent="0.35">
      <c r="J133" s="17"/>
      <c r="Q133" s="17"/>
      <c r="R133" s="10"/>
      <c r="S133" s="17"/>
      <c r="T133" s="17"/>
      <c r="U133" s="17"/>
    </row>
    <row r="134" spans="10:21" ht="30" customHeight="1" x14ac:dyDescent="0.35">
      <c r="J134" s="17"/>
      <c r="Q134" s="17"/>
      <c r="R134" s="10"/>
      <c r="S134" s="17"/>
      <c r="T134" s="17"/>
      <c r="U134" s="17"/>
    </row>
    <row r="135" spans="10:21" ht="30" customHeight="1" x14ac:dyDescent="0.35">
      <c r="J135" s="17"/>
      <c r="Q135" s="17"/>
      <c r="R135" s="10"/>
      <c r="S135" s="17"/>
      <c r="T135" s="17"/>
      <c r="U135" s="17"/>
    </row>
    <row r="136" spans="10:21" ht="30" customHeight="1" x14ac:dyDescent="0.35">
      <c r="J136" s="17"/>
      <c r="Q136" s="17"/>
      <c r="R136" s="10"/>
      <c r="S136" s="17"/>
      <c r="T136" s="17"/>
      <c r="U136" s="17"/>
    </row>
    <row r="137" spans="10:21" ht="30" customHeight="1" x14ac:dyDescent="0.35">
      <c r="J137" s="17"/>
      <c r="Q137" s="17"/>
      <c r="R137" s="10"/>
      <c r="S137" s="17"/>
      <c r="T137" s="17"/>
      <c r="U137" s="17"/>
    </row>
    <row r="138" spans="10:21" ht="30" customHeight="1" x14ac:dyDescent="0.35">
      <c r="J138" s="17"/>
      <c r="Q138" s="17"/>
      <c r="R138" s="10"/>
      <c r="S138" s="17"/>
      <c r="T138" s="17"/>
      <c r="U138" s="17"/>
    </row>
    <row r="139" spans="10:21" ht="30" customHeight="1" x14ac:dyDescent="0.35">
      <c r="J139" s="17"/>
      <c r="Q139" s="17"/>
      <c r="R139" s="10"/>
      <c r="S139" s="17"/>
      <c r="T139" s="17"/>
      <c r="U139" s="17"/>
    </row>
    <row r="140" spans="10:21" ht="30" customHeight="1" x14ac:dyDescent="0.35">
      <c r="J140" s="17"/>
      <c r="Q140" s="17"/>
      <c r="R140" s="10"/>
      <c r="S140" s="17"/>
      <c r="T140" s="17"/>
      <c r="U140" s="17"/>
    </row>
    <row r="141" spans="10:21" ht="30" customHeight="1" x14ac:dyDescent="0.35">
      <c r="J141" s="17"/>
      <c r="Q141" s="17"/>
      <c r="R141" s="10"/>
      <c r="S141" s="17"/>
      <c r="T141" s="17"/>
      <c r="U141" s="17"/>
    </row>
    <row r="142" spans="10:21" ht="30" customHeight="1" x14ac:dyDescent="0.35">
      <c r="J142" s="17"/>
      <c r="Q142" s="17"/>
      <c r="R142" s="10"/>
      <c r="S142" s="17"/>
      <c r="T142" s="17"/>
      <c r="U142" s="17"/>
    </row>
    <row r="143" spans="10:21" ht="30" customHeight="1" x14ac:dyDescent="0.35">
      <c r="J143" s="17"/>
      <c r="Q143" s="17"/>
      <c r="R143" s="10"/>
      <c r="S143" s="17"/>
      <c r="T143" s="17"/>
      <c r="U143" s="17"/>
    </row>
    <row r="144" spans="10:21" ht="30" customHeight="1" x14ac:dyDescent="0.35">
      <c r="J144" s="17"/>
      <c r="Q144" s="17"/>
      <c r="R144" s="10"/>
      <c r="S144" s="17"/>
      <c r="T144" s="17"/>
      <c r="U144" s="17"/>
    </row>
    <row r="145" spans="10:21" ht="30" customHeight="1" x14ac:dyDescent="0.35">
      <c r="J145" s="17"/>
      <c r="Q145" s="17"/>
      <c r="R145" s="10"/>
      <c r="S145" s="17"/>
      <c r="T145" s="17"/>
      <c r="U145" s="17"/>
    </row>
    <row r="146" spans="10:21" ht="30" customHeight="1" x14ac:dyDescent="0.35">
      <c r="J146" s="17"/>
      <c r="Q146" s="17"/>
      <c r="R146" s="10"/>
      <c r="S146" s="17"/>
      <c r="T146" s="17"/>
      <c r="U146" s="17"/>
    </row>
    <row r="147" spans="10:21" ht="30" customHeight="1" x14ac:dyDescent="0.35">
      <c r="J147" s="17"/>
      <c r="Q147" s="17"/>
      <c r="R147" s="10"/>
      <c r="S147" s="17"/>
      <c r="T147" s="17"/>
      <c r="U147" s="17"/>
    </row>
    <row r="148" spans="10:21" ht="30" customHeight="1" x14ac:dyDescent="0.35">
      <c r="J148" s="17"/>
      <c r="Q148" s="17"/>
      <c r="R148" s="10"/>
      <c r="S148" s="17"/>
      <c r="T148" s="17"/>
      <c r="U148" s="17"/>
    </row>
    <row r="149" spans="10:21" ht="30" customHeight="1" x14ac:dyDescent="0.35">
      <c r="J149" s="17"/>
      <c r="Q149" s="17"/>
      <c r="R149" s="10"/>
      <c r="S149" s="17"/>
      <c r="T149" s="17"/>
      <c r="U149" s="17"/>
    </row>
    <row r="150" spans="10:21" ht="30" customHeight="1" x14ac:dyDescent="0.35">
      <c r="J150" s="17"/>
      <c r="Q150" s="17"/>
      <c r="R150" s="10"/>
      <c r="S150" s="17"/>
      <c r="T150" s="17"/>
      <c r="U150" s="17"/>
    </row>
    <row r="151" spans="10:21" ht="30" customHeight="1" x14ac:dyDescent="0.35">
      <c r="J151" s="17"/>
      <c r="Q151" s="17"/>
      <c r="R151" s="10"/>
      <c r="S151" s="17"/>
      <c r="T151" s="17"/>
      <c r="U151" s="17"/>
    </row>
    <row r="152" spans="10:21" ht="30" customHeight="1" x14ac:dyDescent="0.35">
      <c r="J152" s="17"/>
      <c r="Q152" s="17"/>
      <c r="R152" s="10"/>
      <c r="S152" s="17"/>
      <c r="T152" s="17"/>
      <c r="U152" s="17"/>
    </row>
    <row r="153" spans="10:21" ht="30" customHeight="1" x14ac:dyDescent="0.35">
      <c r="J153" s="17"/>
      <c r="Q153" s="17"/>
      <c r="R153" s="10"/>
      <c r="S153" s="17"/>
      <c r="T153" s="17"/>
      <c r="U153" s="17"/>
    </row>
    <row r="154" spans="10:21" ht="30" customHeight="1" x14ac:dyDescent="0.35">
      <c r="J154" s="17"/>
      <c r="Q154" s="17"/>
      <c r="R154" s="10"/>
      <c r="S154" s="17"/>
      <c r="T154" s="17"/>
      <c r="U154" s="17"/>
    </row>
    <row r="155" spans="10:21" ht="30" customHeight="1" x14ac:dyDescent="0.35">
      <c r="J155" s="17"/>
      <c r="Q155" s="17"/>
      <c r="R155" s="10"/>
      <c r="S155" s="17"/>
      <c r="T155" s="17"/>
      <c r="U155" s="17"/>
    </row>
    <row r="156" spans="10:21" ht="30" customHeight="1" x14ac:dyDescent="0.35">
      <c r="J156" s="17"/>
      <c r="Q156" s="17"/>
      <c r="R156" s="10"/>
      <c r="S156" s="17"/>
      <c r="T156" s="17"/>
      <c r="U156" s="17"/>
    </row>
    <row r="157" spans="10:21" ht="30" customHeight="1" x14ac:dyDescent="0.35">
      <c r="J157" s="17"/>
      <c r="Q157" s="17"/>
      <c r="R157" s="10"/>
      <c r="S157" s="17"/>
      <c r="T157" s="17"/>
      <c r="U157" s="17"/>
    </row>
    <row r="158" spans="10:21" ht="30" customHeight="1" x14ac:dyDescent="0.35">
      <c r="J158" s="17"/>
      <c r="Q158" s="17"/>
      <c r="R158" s="10"/>
      <c r="S158" s="17"/>
      <c r="T158" s="17"/>
      <c r="U158" s="17"/>
    </row>
    <row r="159" spans="10:21" ht="30" customHeight="1" x14ac:dyDescent="0.35">
      <c r="J159" s="17"/>
      <c r="Q159" s="17"/>
      <c r="R159" s="10"/>
      <c r="S159" s="17"/>
      <c r="T159" s="17"/>
      <c r="U159" s="17"/>
    </row>
    <row r="160" spans="10:21" ht="30" customHeight="1" x14ac:dyDescent="0.35">
      <c r="J160" s="17"/>
      <c r="Q160" s="17"/>
      <c r="R160" s="10"/>
      <c r="S160" s="17"/>
      <c r="T160" s="17"/>
      <c r="U160" s="17"/>
    </row>
    <row r="161" spans="10:21" ht="30" customHeight="1" x14ac:dyDescent="0.35">
      <c r="J161" s="17"/>
      <c r="Q161" s="17"/>
      <c r="R161" s="10"/>
      <c r="S161" s="17"/>
      <c r="T161" s="17"/>
      <c r="U161" s="17"/>
    </row>
    <row r="162" spans="10:21" ht="30" customHeight="1" x14ac:dyDescent="0.35">
      <c r="J162" s="17"/>
      <c r="Q162" s="17"/>
      <c r="R162" s="10"/>
      <c r="S162" s="17"/>
      <c r="T162" s="17"/>
      <c r="U162" s="17"/>
    </row>
    <row r="163" spans="10:21" ht="30" customHeight="1" x14ac:dyDescent="0.35">
      <c r="J163" s="17"/>
      <c r="Q163" s="17"/>
      <c r="R163" s="10"/>
      <c r="S163" s="17"/>
      <c r="T163" s="17"/>
      <c r="U163" s="17"/>
    </row>
    <row r="164" spans="10:21" ht="30" customHeight="1" x14ac:dyDescent="0.35">
      <c r="J164" s="17"/>
      <c r="Q164" s="17"/>
      <c r="R164" s="10"/>
      <c r="S164" s="17"/>
      <c r="T164" s="17"/>
      <c r="U164" s="17"/>
    </row>
    <row r="165" spans="10:21" ht="30" customHeight="1" x14ac:dyDescent="0.35">
      <c r="J165" s="17"/>
      <c r="Q165" s="17"/>
      <c r="R165" s="10"/>
      <c r="S165" s="17"/>
      <c r="T165" s="17"/>
      <c r="U165" s="17"/>
    </row>
    <row r="166" spans="10:21" ht="30" customHeight="1" x14ac:dyDescent="0.35">
      <c r="J166" s="17"/>
      <c r="Q166" s="17"/>
      <c r="R166" s="10"/>
      <c r="S166" s="17"/>
      <c r="T166" s="17"/>
      <c r="U166" s="17"/>
    </row>
    <row r="167" spans="10:21" ht="30" customHeight="1" x14ac:dyDescent="0.35">
      <c r="J167" s="17"/>
      <c r="Q167" s="17"/>
      <c r="R167" s="10"/>
      <c r="S167" s="17"/>
      <c r="T167" s="17"/>
      <c r="U167" s="17"/>
    </row>
    <row r="168" spans="10:21" ht="30" customHeight="1" x14ac:dyDescent="0.35">
      <c r="J168" s="17"/>
      <c r="Q168" s="17"/>
      <c r="R168" s="10"/>
      <c r="S168" s="17"/>
      <c r="T168" s="17"/>
      <c r="U168" s="17"/>
    </row>
    <row r="169" spans="10:21" ht="30" customHeight="1" x14ac:dyDescent="0.35">
      <c r="J169" s="17"/>
      <c r="Q169" s="17"/>
      <c r="R169" s="10"/>
      <c r="S169" s="17"/>
      <c r="T169" s="17"/>
      <c r="U169" s="17"/>
    </row>
    <row r="170" spans="10:21" ht="30" customHeight="1" x14ac:dyDescent="0.35">
      <c r="J170" s="17"/>
      <c r="Q170" s="17"/>
      <c r="R170" s="10"/>
      <c r="S170" s="17"/>
      <c r="T170" s="17"/>
      <c r="U170" s="17"/>
    </row>
    <row r="171" spans="10:21" ht="30" customHeight="1" x14ac:dyDescent="0.35">
      <c r="J171" s="17"/>
      <c r="Q171" s="17"/>
      <c r="R171" s="10"/>
      <c r="S171" s="17"/>
      <c r="T171" s="17"/>
      <c r="U171" s="17"/>
    </row>
    <row r="172" spans="10:21" ht="30" customHeight="1" x14ac:dyDescent="0.35">
      <c r="J172" s="17"/>
      <c r="Q172" s="17"/>
      <c r="R172" s="10"/>
      <c r="S172" s="17"/>
      <c r="T172" s="17"/>
      <c r="U172" s="17"/>
    </row>
    <row r="173" spans="10:21" ht="30" customHeight="1" x14ac:dyDescent="0.35">
      <c r="J173" s="17"/>
      <c r="Q173" s="17"/>
      <c r="R173" s="10"/>
      <c r="S173" s="17"/>
      <c r="T173" s="17"/>
      <c r="U173" s="17"/>
    </row>
    <row r="174" spans="10:21" ht="30" customHeight="1" x14ac:dyDescent="0.35">
      <c r="J174" s="17"/>
      <c r="Q174" s="17"/>
      <c r="R174" s="10"/>
      <c r="S174" s="17"/>
      <c r="T174" s="17"/>
      <c r="U174" s="17"/>
    </row>
    <row r="175" spans="10:21" ht="30" customHeight="1" x14ac:dyDescent="0.35">
      <c r="J175" s="17"/>
      <c r="Q175" s="17"/>
      <c r="R175" s="10"/>
      <c r="S175" s="17"/>
      <c r="T175" s="17"/>
      <c r="U175" s="17"/>
    </row>
    <row r="176" spans="10:21" ht="30" customHeight="1" x14ac:dyDescent="0.35">
      <c r="J176" s="17"/>
      <c r="Q176" s="17"/>
      <c r="R176" s="10"/>
      <c r="S176" s="17"/>
      <c r="T176" s="17"/>
      <c r="U176" s="17"/>
    </row>
    <row r="177" spans="10:21" ht="30" customHeight="1" x14ac:dyDescent="0.35">
      <c r="J177" s="17"/>
      <c r="Q177" s="17"/>
      <c r="R177" s="10"/>
      <c r="S177" s="17"/>
      <c r="T177" s="17"/>
      <c r="U177" s="17"/>
    </row>
    <row r="178" spans="10:21" ht="30" customHeight="1" x14ac:dyDescent="0.35">
      <c r="J178" s="17"/>
      <c r="Q178" s="17"/>
      <c r="R178" s="10"/>
      <c r="S178" s="17"/>
      <c r="T178" s="17"/>
      <c r="U178" s="17"/>
    </row>
    <row r="179" spans="10:21" ht="30" customHeight="1" x14ac:dyDescent="0.35">
      <c r="J179" s="17"/>
      <c r="Q179" s="17"/>
      <c r="R179" s="10"/>
      <c r="S179" s="17"/>
      <c r="T179" s="17"/>
      <c r="U179" s="17"/>
    </row>
    <row r="180" spans="10:21" ht="30" customHeight="1" x14ac:dyDescent="0.35">
      <c r="J180" s="17"/>
      <c r="Q180" s="17"/>
      <c r="R180" s="10"/>
      <c r="S180" s="17"/>
      <c r="T180" s="17"/>
      <c r="U180" s="17"/>
    </row>
    <row r="181" spans="10:21" ht="30" customHeight="1" x14ac:dyDescent="0.35">
      <c r="J181" s="17"/>
      <c r="Q181" s="17"/>
      <c r="R181" s="10"/>
      <c r="S181" s="17"/>
      <c r="T181" s="17"/>
      <c r="U181" s="17"/>
    </row>
    <row r="182" spans="10:21" ht="30" customHeight="1" x14ac:dyDescent="0.35">
      <c r="J182" s="17"/>
      <c r="Q182" s="17"/>
      <c r="R182" s="10"/>
      <c r="S182" s="17"/>
      <c r="T182" s="17"/>
      <c r="U182" s="17"/>
    </row>
    <row r="183" spans="10:21" ht="30" customHeight="1" x14ac:dyDescent="0.35">
      <c r="J183" s="17"/>
      <c r="Q183" s="17"/>
      <c r="R183" s="10"/>
      <c r="S183" s="17"/>
      <c r="T183" s="17"/>
      <c r="U183" s="17"/>
    </row>
    <row r="184" spans="10:21" ht="30" customHeight="1" x14ac:dyDescent="0.35">
      <c r="J184" s="17"/>
      <c r="Q184" s="17"/>
      <c r="R184" s="10"/>
      <c r="S184" s="17"/>
      <c r="T184" s="17"/>
      <c r="U184" s="17"/>
    </row>
  </sheetData>
  <sheetProtection algorithmName="SHA-512" hashValue="++cFbaLjpyaTJtlDLrXRrnEohBJirfBwKwztubS/QeugbxJai2jB88LZlJHCwmNFVB/wYtZpAcpvAp50HWpqHQ==" saltValue="3wuk7rr2f23u0UwuIJ8Pew==" spinCount="100000" sheet="1" autoFilter="0"/>
  <autoFilter ref="AR4:CX99" xr:uid="{8232D857-0516-4CEC-B09A-65CB395F891C}"/>
  <mergeCells count="16">
    <mergeCell ref="CR3:CT3"/>
    <mergeCell ref="CB2:CC2"/>
    <mergeCell ref="CH2:CN2"/>
    <mergeCell ref="BT3:BZ3"/>
    <mergeCell ref="CB3:CC3"/>
    <mergeCell ref="CE3:CF3"/>
    <mergeCell ref="CH3:CI3"/>
    <mergeCell ref="CJ3:CN3"/>
    <mergeCell ref="AE1:AR1"/>
    <mergeCell ref="AT1:AW1"/>
    <mergeCell ref="BA1:BK1"/>
    <mergeCell ref="AE2:AQ2"/>
    <mergeCell ref="AT2:AU2"/>
    <mergeCell ref="BA2:BC2"/>
    <mergeCell ref="BD2:BE2"/>
    <mergeCell ref="BF2:BI2"/>
  </mergeCells>
  <conditionalFormatting sqref="D60:D78 D28:D42 D23 D4:D14 D16 D19 D21 D90:D98 D100:D1048576">
    <cfRule type="duplicateValues" dxfId="4" priority="4"/>
  </conditionalFormatting>
  <conditionalFormatting sqref="E60:E78 E28:E42 E23 E4:E14 E16 E19 E21 E90:E98 E100:E1048576">
    <cfRule type="duplicateValues" dxfId="3" priority="5"/>
  </conditionalFormatting>
  <conditionalFormatting sqref="E89 E79 E81 E83:E84">
    <cfRule type="duplicateValues" dxfId="2" priority="20"/>
  </conditionalFormatting>
  <conditionalFormatting sqref="F4">
    <cfRule type="duplicateValues" dxfId="1" priority="3"/>
  </conditionalFormatting>
  <conditionalFormatting sqref="G4">
    <cfRule type="duplicateValues" dxfId="0" priority="2"/>
  </conditionalFormatting>
  <hyperlinks>
    <hyperlink ref="B78" r:id="rId1" xr:uid="{F98D331A-CB22-4753-B0CE-271EEFAC1B6A}"/>
    <hyperlink ref="B70" r:id="rId2" xr:uid="{9030B89D-0384-4ED2-8EBC-238B2147E568}"/>
    <hyperlink ref="B68" r:id="rId3" xr:uid="{A1F3D593-A46E-4BDE-9C03-D70E5F37DC90}"/>
    <hyperlink ref="E88" r:id="rId4" display="https://tools.wmflabs.org/magnustools/cas.php?cas=91-20-3&amp;language=fr&amp;title=Naphtal%C3%A8ne" xr:uid="{489E61A0-209D-48E3-BCB8-93FAFDF1943C}"/>
  </hyperlinks>
  <pageMargins left="0.7" right="0.7" top="0.75" bottom="0.75" header="0.3" footer="0.3"/>
  <pageSetup orientation="portrait" r:id="rId5"/>
  <drawing r:id="rId6"/>
  <tableParts count="1">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2F7862B0D2954B4893AFE98C9CEC5609" ma:contentTypeVersion="6" ma:contentTypeDescription="Create a new document." ma:contentTypeScope="" ma:versionID="40b6a03f269e7b4b529a51372e883a21">
  <xsd:schema xmlns:xsd="http://www.w3.org/2001/XMLSchema" xmlns:xs="http://www.w3.org/2001/XMLSchema" xmlns:p="http://schemas.microsoft.com/office/2006/metadata/properties" xmlns:ns2="ba32e922-70fd-414d-b242-35e3666183be" xmlns:ns3="40d012ab-98ee-49ab-82e0-43e285d4a8fe" targetNamespace="http://schemas.microsoft.com/office/2006/metadata/properties" ma:root="true" ma:fieldsID="4fbf9ad320401d3e6ec51ee76b33f662" ns2:_="" ns3:_="">
    <xsd:import namespace="ba32e922-70fd-414d-b242-35e3666183be"/>
    <xsd:import namespace="40d012ab-98ee-49ab-82e0-43e285d4a8fe"/>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32e922-70fd-414d-b242-35e3666183b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0d012ab-98ee-49ab-82e0-43e285d4a8fe"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ba32e922-70fd-414d-b242-35e3666183be">ZEQ7YMZHEKVZ-62049470-762</_dlc_DocId>
    <_dlc_DocIdUrl xmlns="ba32e922-70fd-414d-b242-35e3666183be">
      <Url>https://arcadiso365.sharepoint.com/teams/ch-102980425/_layouts/15/DocIdRedir.aspx?ID=ZEQ7YMZHEKVZ-62049470-762</Url>
      <Description>ZEQ7YMZHEKVZ-62049470-762</Description>
    </_dlc_DocIdUrl>
    <SharedWithUsers xmlns="ba32e922-70fd-414d-b242-35e3666183be">
      <UserInfo>
        <DisplayName/>
        <AccountId xsi:nil="true"/>
        <AccountType/>
      </UserInfo>
    </SharedWithUsers>
  </documentManagement>
</p:properties>
</file>

<file path=customXml/itemProps1.xml><?xml version="1.0" encoding="utf-8"?>
<ds:datastoreItem xmlns:ds="http://schemas.openxmlformats.org/officeDocument/2006/customXml" ds:itemID="{CF7CB1EC-455E-4CCE-84EA-D094F53352F2}">
  <ds:schemaRefs>
    <ds:schemaRef ds:uri="http://schemas.microsoft.com/sharepoint/v3/contenttype/forms"/>
  </ds:schemaRefs>
</ds:datastoreItem>
</file>

<file path=customXml/itemProps2.xml><?xml version="1.0" encoding="utf-8"?>
<ds:datastoreItem xmlns:ds="http://schemas.openxmlformats.org/officeDocument/2006/customXml" ds:itemID="{CBBCF332-7CF3-4A56-8AAB-1558BEE763D4}">
  <ds:schemaRefs>
    <ds:schemaRef ds:uri="http://schemas.microsoft.com/sharepoint/events"/>
  </ds:schemaRefs>
</ds:datastoreItem>
</file>

<file path=customXml/itemProps3.xml><?xml version="1.0" encoding="utf-8"?>
<ds:datastoreItem xmlns:ds="http://schemas.openxmlformats.org/officeDocument/2006/customXml" ds:itemID="{C7356145-A0EA-4F8C-AB2F-1CB4109405D3}"/>
</file>

<file path=customXml/itemProps4.xml><?xml version="1.0" encoding="utf-8"?>
<ds:datastoreItem xmlns:ds="http://schemas.openxmlformats.org/officeDocument/2006/customXml" ds:itemID="{3E543686-37FE-4E48-8940-77C73F14BB4C}">
  <ds:schemaRefs>
    <ds:schemaRef ds:uri="http://schemas.microsoft.com/office/2006/documentManagement/types"/>
    <ds:schemaRef ds:uri="http://www.w3.org/XML/1998/namespace"/>
    <ds:schemaRef ds:uri="ba32e922-70fd-414d-b242-35e3666183be"/>
    <ds:schemaRef ds:uri="http://schemas.microsoft.com/office/infopath/2007/PartnerControls"/>
    <ds:schemaRef ds:uri="http://purl.org/dc/elements/1.1/"/>
    <ds:schemaRef ds:uri="http://schemas.microsoft.com/office/2006/metadata/properties"/>
    <ds:schemaRef ds:uri="http://purl.org/dc/terms/"/>
    <ds:schemaRef ds:uri="932e6f7d-fc3c-4708-ab78-2b3669c0cc6d"/>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Mode d'emploi</vt:lpstr>
      <vt:lpstr>DASHBOARD Recommandation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Veekman Soudon, Hugo</dc:creator>
  <cp:keywords/>
  <dc:description/>
  <cp:lastModifiedBy>Zanutel, Antoine</cp:lastModifiedBy>
  <cp:revision/>
  <dcterms:created xsi:type="dcterms:W3CDTF">2024-02-07T14:24:54Z</dcterms:created>
  <dcterms:modified xsi:type="dcterms:W3CDTF">2026-04-09T14:54:06Z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0x0101002F7862B0D2954B4893AFE98C9CEC5609</vt:lpwstr>
  </property>
  <property fmtid="{D5CDD505-2E9C-101B-9397-08002B2CF9AE}" pid="3" name="_dlc_DocIdItemGuid">
    <vt:lpwstr>da03e2e4-3c80-47d6-aead-7886ad6632ef</vt:lpwstr>
  </property>
  <property fmtid="{D5CDD505-2E9C-101B-9397-08002B2CF9AE}" pid="4" name="PH_DocumentType">
    <vt:lpwstr/>
  </property>
  <property fmtid="{D5CDD505-2E9C-101B-9397-08002B2CF9AE}" pid="5" name="SV_QUERY_LIST_4F35BF76-6C0D-4D9B-82B2-816C12CF3733">
    <vt:lpwstr>empty_477D106A-C0D6-4607-AEBD-E2C9D60EA279</vt:lpwstr>
  </property>
  <property fmtid="{D5CDD505-2E9C-101B-9397-08002B2CF9AE}" pid="6" name="SV_HIDDEN_GRID_QUERY_LIST_4F35BF76-6C0D-4D9B-82B2-816C12CF3733">
    <vt:lpwstr>empty_477D106A-C0D6-4607-AEBD-E2C9D60EA279</vt:lpwstr>
  </property>
  <property fmtid="{D5CDD505-2E9C-101B-9397-08002B2CF9AE}" pid="7" name="MediaServiceImageTags">
    <vt:lpwstr/>
  </property>
  <property fmtid="{D5CDD505-2E9C-101B-9397-08002B2CF9AE}" pid="8" name="Order">
    <vt:r8>24600</vt:r8>
  </property>
  <property fmtid="{D5CDD505-2E9C-101B-9397-08002B2CF9AE}" pid="9" name="xd_Signature">
    <vt:bool>false</vt:bool>
  </property>
  <property fmtid="{D5CDD505-2E9C-101B-9397-08002B2CF9AE}" pid="10" name="xd_ProgID">
    <vt:lpwstr/>
  </property>
  <property fmtid="{D5CDD505-2E9C-101B-9397-08002B2CF9AE}" pid="11" name="ComplianceAssetId">
    <vt:lpwstr/>
  </property>
  <property fmtid="{D5CDD505-2E9C-101B-9397-08002B2CF9AE}" pid="12" name="TemplateUrl">
    <vt:lpwstr/>
  </property>
  <property fmtid="{D5CDD505-2E9C-101B-9397-08002B2CF9AE}" pid="13" name="_ExtendedDescription">
    <vt:lpwstr/>
  </property>
  <property fmtid="{D5CDD505-2E9C-101B-9397-08002B2CF9AE}" pid="14" name="TriggerFlowInfo">
    <vt:lpwstr/>
  </property>
  <property fmtid="{D5CDD505-2E9C-101B-9397-08002B2CF9AE}" pid="19" name="PH_ApprovalStatus">
    <vt:lpwstr>Draft</vt:lpwstr>
  </property>
</Properties>
</file>