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https://arcadiso365.sharepoint.com/teams/ch-102980425/Shared Documents/Project/10_WIP/Report/FINAL (Délivrable n°1 et 2)/Délivrable n°2/Annexes/"/>
    </mc:Choice>
  </mc:AlternateContent>
  <xr:revisionPtr revIDLastSave="16911" documentId="8_{28CD9581-60EC-4A08-AB0D-F50C785D3B67}" xr6:coauthVersionLast="47" xr6:coauthVersionMax="47" xr10:uidLastSave="{EC93974E-9509-4277-B7BA-E8D5B82FC955}"/>
  <workbookProtection workbookAlgorithmName="SHA-512" workbookHashValue="FCx7sK5dk+mxHej10GFPU3ib+ustpm/OugCjFAQpFtUgZkQbbFmqRtOSqrNjIjeKdRzg952eF12D6j1/Lvc+Ag==" workbookSaltValue="qbbnSx4+Qw6zSScDLtXh8A==" workbookSpinCount="100000" lockStructure="1"/>
  <bookViews>
    <workbookView xWindow="28680" yWindow="-120" windowWidth="38640" windowHeight="15720" xr2:uid="{5D7DC371-11F4-45F6-A8D7-2FB55B69D4DB}"/>
  </bookViews>
  <sheets>
    <sheet name="Mode d'emploi" sheetId="28" r:id="rId1"/>
    <sheet name="Task 4 - Substances autorisées " sheetId="26" r:id="rId2"/>
    <sheet name="Task 4 - Substances interdites" sheetId="27" r:id="rId3"/>
  </sheets>
  <definedNames>
    <definedName name="_xlnm._FilterDatabase" localSheetId="1" hidden="1">'Task 4 - Substances autorisées '!$AF$4:$CD$180</definedName>
    <definedName name="_xlnm._FilterDatabase" localSheetId="2" hidden="1">'Task 4 - Substances interdites'!$AF$1:$BS$44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X6" i="26" l="1"/>
  <c r="BX7" i="26"/>
  <c r="BX8" i="26"/>
  <c r="BX9" i="26"/>
  <c r="BX10" i="26"/>
  <c r="BX11" i="26"/>
  <c r="BX12" i="26"/>
  <c r="BX13" i="26"/>
  <c r="BX14" i="26"/>
  <c r="BX15" i="26"/>
  <c r="BX16" i="26"/>
  <c r="BX17" i="26"/>
  <c r="BX18" i="26"/>
  <c r="BX19" i="26"/>
  <c r="BX20" i="26"/>
  <c r="BX21" i="26"/>
  <c r="BX22" i="26"/>
  <c r="BX23" i="26"/>
  <c r="BX24" i="26"/>
  <c r="BX25" i="26"/>
  <c r="BX26" i="26"/>
  <c r="BX27" i="26"/>
  <c r="BX28" i="26"/>
  <c r="BX29" i="26"/>
  <c r="BX30" i="26"/>
  <c r="BX31" i="26"/>
  <c r="BX32" i="26"/>
  <c r="BX33" i="26"/>
  <c r="BX34" i="26"/>
  <c r="BX35" i="26"/>
  <c r="BX36" i="26"/>
  <c r="BX37" i="26"/>
  <c r="BX38" i="26"/>
  <c r="BX39" i="26"/>
  <c r="BX40" i="26"/>
  <c r="BX41" i="26"/>
  <c r="BX42" i="26"/>
  <c r="BX43" i="26"/>
  <c r="BX44" i="26"/>
  <c r="BX45" i="26"/>
  <c r="BX46" i="26"/>
  <c r="BX47" i="26"/>
  <c r="BX48" i="26"/>
  <c r="BX49" i="26"/>
  <c r="BX50" i="26"/>
  <c r="BX51" i="26"/>
  <c r="BX52" i="26"/>
  <c r="BX53" i="26"/>
  <c r="BX54" i="26"/>
  <c r="BX55" i="26"/>
  <c r="BX56" i="26"/>
  <c r="BX57" i="26"/>
  <c r="BX58" i="26"/>
  <c r="BX59" i="26"/>
  <c r="BX60" i="26"/>
  <c r="BX61" i="26"/>
  <c r="BX62" i="26"/>
  <c r="BX63" i="26"/>
  <c r="BX64" i="26"/>
  <c r="BX65" i="26"/>
  <c r="BX66" i="26"/>
  <c r="BX67" i="26"/>
  <c r="BX68" i="26"/>
  <c r="BX69" i="26"/>
  <c r="BX70" i="26"/>
  <c r="BX71" i="26"/>
  <c r="BX72" i="26"/>
  <c r="BX73" i="26"/>
  <c r="BX74" i="26"/>
  <c r="BX75" i="26"/>
  <c r="BX76" i="26"/>
  <c r="BX77" i="26"/>
  <c r="BX78" i="26"/>
  <c r="BX79" i="26"/>
  <c r="BX80" i="26"/>
  <c r="BX81" i="26"/>
  <c r="BX82" i="26"/>
  <c r="BX83" i="26"/>
  <c r="BX84" i="26"/>
  <c r="BX85" i="26"/>
  <c r="BX86" i="26"/>
  <c r="BX87" i="26"/>
  <c r="BX88" i="26"/>
  <c r="BX89" i="26"/>
  <c r="BX90" i="26"/>
  <c r="BX91" i="26"/>
  <c r="BX92" i="26"/>
  <c r="BX93" i="26"/>
  <c r="BX94" i="26"/>
  <c r="BX95" i="26"/>
  <c r="BX96" i="26"/>
  <c r="BX97" i="26"/>
  <c r="BX98" i="26"/>
  <c r="BX99" i="26"/>
  <c r="BX100" i="26"/>
  <c r="BX101" i="26"/>
  <c r="BX102" i="26"/>
  <c r="BX103" i="26"/>
  <c r="BX104" i="26"/>
  <c r="BX105" i="26"/>
  <c r="BX106" i="26"/>
  <c r="BX107" i="26"/>
  <c r="BX108" i="26"/>
  <c r="BX109" i="26"/>
  <c r="BX110" i="26"/>
  <c r="BX111" i="26"/>
  <c r="BX112" i="26"/>
  <c r="BX113" i="26"/>
  <c r="BX114" i="26"/>
  <c r="BX115" i="26"/>
  <c r="BX116" i="26"/>
  <c r="BX117" i="26"/>
  <c r="BX118" i="26"/>
  <c r="BX119" i="26"/>
  <c r="BX120" i="26"/>
  <c r="BX121" i="26"/>
  <c r="BX122" i="26"/>
  <c r="BX123" i="26"/>
  <c r="BX124" i="26"/>
  <c r="BX125" i="26"/>
  <c r="BX126" i="26"/>
  <c r="BX127" i="26"/>
  <c r="BX128" i="26"/>
  <c r="BX129" i="26"/>
  <c r="BX130" i="26"/>
  <c r="BX131" i="26"/>
  <c r="BX132" i="26"/>
  <c r="BX133" i="26"/>
  <c r="BX134" i="26"/>
  <c r="BX135" i="26"/>
  <c r="BX136" i="26"/>
  <c r="BX137" i="26"/>
  <c r="BX138" i="26"/>
  <c r="BX139" i="26"/>
  <c r="BX140" i="26"/>
  <c r="BX141" i="26"/>
  <c r="BX142" i="26"/>
  <c r="BX143" i="26"/>
  <c r="BX144" i="26"/>
  <c r="BX145" i="26"/>
  <c r="BX146" i="26"/>
  <c r="BX147" i="26"/>
  <c r="BX148" i="26"/>
  <c r="BX149" i="26"/>
  <c r="BX150" i="26"/>
  <c r="BX151" i="26"/>
  <c r="BX152" i="26"/>
  <c r="BX153" i="26"/>
  <c r="BX154" i="26"/>
  <c r="BX155" i="26"/>
  <c r="BX156" i="26"/>
  <c r="BX157" i="26"/>
  <c r="BX158" i="26"/>
  <c r="BX159" i="26"/>
  <c r="BX160" i="26"/>
  <c r="BX161" i="26"/>
  <c r="BX162" i="26"/>
  <c r="BX163" i="26"/>
  <c r="BX164" i="26"/>
  <c r="BX165" i="26"/>
  <c r="BX166" i="26"/>
  <c r="BX167" i="26"/>
  <c r="BX168" i="26"/>
  <c r="BX169" i="26"/>
  <c r="BX170" i="26"/>
  <c r="BX171" i="26"/>
  <c r="BX172" i="26"/>
  <c r="BX173" i="26"/>
  <c r="BX174" i="26"/>
  <c r="BX175" i="26"/>
  <c r="BX176" i="26"/>
  <c r="BX177" i="26"/>
  <c r="BX178" i="26"/>
  <c r="BX179" i="26"/>
  <c r="BX180" i="26"/>
  <c r="BX5" i="26"/>
  <c r="AW5" i="26"/>
  <c r="AV180" i="26"/>
  <c r="AV179" i="26"/>
  <c r="AV178" i="26"/>
  <c r="AV177" i="26"/>
  <c r="AV176" i="26"/>
  <c r="AV175" i="26"/>
  <c r="AV174" i="26"/>
  <c r="AV173" i="26"/>
  <c r="AV172" i="26"/>
  <c r="AV171" i="26"/>
  <c r="AV170" i="26"/>
  <c r="AV169" i="26"/>
  <c r="AV168" i="26"/>
  <c r="AV167" i="26"/>
  <c r="AV166" i="26"/>
  <c r="AV165" i="26"/>
  <c r="AV164" i="26"/>
  <c r="AV163" i="26"/>
  <c r="AV162" i="26"/>
  <c r="AV161" i="26"/>
  <c r="AV160" i="26"/>
  <c r="AV159" i="26"/>
  <c r="AV158" i="26"/>
  <c r="AV157" i="26"/>
  <c r="AV156" i="26"/>
  <c r="AV155" i="26"/>
  <c r="AV154" i="26"/>
  <c r="AV153" i="26"/>
  <c r="AV152" i="26"/>
  <c r="AV151" i="26"/>
  <c r="AV150" i="26"/>
  <c r="AV149" i="26"/>
  <c r="AV148" i="26"/>
  <c r="AV147" i="26"/>
  <c r="AV146" i="26"/>
  <c r="AV145" i="26"/>
  <c r="AV144" i="26"/>
  <c r="AV143" i="26"/>
  <c r="AV142" i="26"/>
  <c r="AV141" i="26"/>
  <c r="AV140" i="26"/>
  <c r="AV139" i="26"/>
  <c r="AV138" i="26"/>
  <c r="AV137" i="26"/>
  <c r="AV136" i="26"/>
  <c r="AV135" i="26"/>
  <c r="AV134" i="26"/>
  <c r="AV133" i="26"/>
  <c r="AV132" i="26"/>
  <c r="AV131" i="26"/>
  <c r="AV130" i="26"/>
  <c r="AV129" i="26"/>
  <c r="AV128" i="26"/>
  <c r="AV127" i="26"/>
  <c r="AV126" i="26"/>
  <c r="AV125" i="26"/>
  <c r="AV124" i="26"/>
  <c r="AV123" i="26"/>
  <c r="AV122" i="26"/>
  <c r="AV121" i="26"/>
  <c r="AV120" i="26"/>
  <c r="AV119" i="26"/>
  <c r="AV118" i="26"/>
  <c r="AV117" i="26"/>
  <c r="AV116" i="26"/>
  <c r="AV115" i="26"/>
  <c r="AV114" i="26"/>
  <c r="AV113" i="26"/>
  <c r="AV112" i="26"/>
  <c r="AV111" i="26"/>
  <c r="AV110" i="26"/>
  <c r="AV109" i="26"/>
  <c r="AV108" i="26"/>
  <c r="AV107" i="26"/>
  <c r="AV106" i="26"/>
  <c r="AV105" i="26"/>
  <c r="AU104" i="26"/>
  <c r="AV104" i="26" s="1"/>
  <c r="AV103" i="26"/>
  <c r="AV102" i="26"/>
  <c r="AV101" i="26"/>
  <c r="AV100" i="26"/>
  <c r="AV99" i="26"/>
  <c r="AV98" i="26"/>
  <c r="AV97" i="26"/>
  <c r="AV96" i="26"/>
  <c r="AU95" i="26"/>
  <c r="AV95" i="26" s="1"/>
  <c r="AV94" i="26"/>
  <c r="AV93" i="26"/>
  <c r="AV92" i="26"/>
  <c r="AV91" i="26"/>
  <c r="AV90" i="26"/>
  <c r="AV89" i="26"/>
  <c r="AV88" i="26"/>
  <c r="AV87" i="26"/>
  <c r="AV86" i="26"/>
  <c r="AV85" i="26"/>
  <c r="AV84" i="26"/>
  <c r="AW84" i="26" s="1"/>
  <c r="AV83" i="26"/>
  <c r="AV82" i="26"/>
  <c r="AV81" i="26"/>
  <c r="AV80" i="26"/>
  <c r="AV79" i="26"/>
  <c r="AV78" i="26"/>
  <c r="AV77" i="26"/>
  <c r="AV76" i="26"/>
  <c r="AV75" i="26"/>
  <c r="AU74" i="26"/>
  <c r="AV74" i="26" s="1"/>
  <c r="AV73" i="26"/>
  <c r="AV72" i="26"/>
  <c r="AV71" i="26"/>
  <c r="AV70" i="26"/>
  <c r="AV69" i="26"/>
  <c r="AV68" i="26"/>
  <c r="AV67" i="26"/>
  <c r="AV66" i="26"/>
  <c r="AV65" i="26"/>
  <c r="AV64" i="26"/>
  <c r="AU63" i="26"/>
  <c r="AV63" i="26" s="1"/>
  <c r="AV62" i="26"/>
  <c r="AV61" i="26"/>
  <c r="AU60" i="26"/>
  <c r="AV60" i="26" s="1"/>
  <c r="AV59" i="26"/>
  <c r="AV58" i="26"/>
  <c r="AV57" i="26"/>
  <c r="AV56" i="26"/>
  <c r="AV55" i="26"/>
  <c r="AV54" i="26"/>
  <c r="AV53" i="26"/>
  <c r="AV52" i="26"/>
  <c r="AV51" i="26"/>
  <c r="AV50" i="26"/>
  <c r="AV49" i="26"/>
  <c r="AV48" i="26"/>
  <c r="AV47" i="26"/>
  <c r="AV46" i="26"/>
  <c r="AV45" i="26"/>
  <c r="AV44" i="26"/>
  <c r="AV43" i="26"/>
  <c r="AV42" i="26"/>
  <c r="AV41" i="26"/>
  <c r="AV40" i="26"/>
  <c r="AV39" i="26"/>
  <c r="AV38" i="26"/>
  <c r="AV37" i="26"/>
  <c r="AV36" i="26"/>
  <c r="AV35" i="26"/>
  <c r="AV34" i="26"/>
  <c r="AV33" i="26"/>
  <c r="AV32" i="26"/>
  <c r="AV31" i="26"/>
  <c r="AV30" i="26"/>
  <c r="AV29" i="26"/>
  <c r="AV28" i="26"/>
  <c r="AV27" i="26"/>
  <c r="AV26" i="26"/>
  <c r="AV25" i="26"/>
  <c r="AV24" i="26"/>
  <c r="AV23" i="26"/>
  <c r="AV22" i="26"/>
  <c r="AV21" i="26"/>
  <c r="AV20" i="26"/>
  <c r="AU19" i="26"/>
  <c r="AV19" i="26" s="1"/>
  <c r="AV18" i="26"/>
  <c r="AV17" i="26"/>
  <c r="AV16" i="26"/>
  <c r="AV15" i="26"/>
  <c r="AV14" i="26"/>
  <c r="AV13" i="26"/>
  <c r="AV12" i="26"/>
  <c r="AV11" i="26"/>
  <c r="AV10" i="26"/>
  <c r="AV9" i="26"/>
  <c r="AV8" i="26"/>
  <c r="AV7" i="26"/>
  <c r="AV6" i="26"/>
  <c r="AU5" i="26"/>
  <c r="AV5" i="26" s="1"/>
  <c r="BS45" i="27"/>
  <c r="AU2" i="27"/>
  <c r="BQ44" i="27"/>
  <c r="BP44" i="27"/>
  <c r="BA44" i="27"/>
  <c r="AU44" i="27"/>
  <c r="AR44" i="27" a="1"/>
  <c r="AR44" i="27" s="1"/>
  <c r="AQ44" i="27" a="1"/>
  <c r="AQ44" i="27" s="1"/>
  <c r="AP44" i="27" a="1"/>
  <c r="AP44" i="27" s="1"/>
  <c r="AO44" i="27" a="1"/>
  <c r="AO44" i="27" s="1"/>
  <c r="AN44" i="27" a="1"/>
  <c r="AN44" i="27" s="1"/>
  <c r="AM44" i="27" a="1"/>
  <c r="AM44" i="27" s="1"/>
  <c r="AL44" i="27" a="1"/>
  <c r="AL44" i="27" s="1"/>
  <c r="AK44" i="27" a="1"/>
  <c r="AK44" i="27" s="1"/>
  <c r="AJ44" i="27" a="1"/>
  <c r="AJ44" i="27" s="1"/>
  <c r="AI44" i="27" a="1"/>
  <c r="AI44" i="27" s="1"/>
  <c r="AH44" i="27" a="1"/>
  <c r="AH44" i="27" s="1"/>
  <c r="AG44" i="27" a="1"/>
  <c r="AG44" i="27" s="1"/>
  <c r="AF44" i="27" a="1"/>
  <c r="AF44" i="27" s="1"/>
  <c r="AB44" i="27"/>
  <c r="BP43" i="27"/>
  <c r="BA43" i="27"/>
  <c r="AU43" i="27"/>
  <c r="AR43" i="27" a="1"/>
  <c r="AR43" i="27" s="1"/>
  <c r="AQ43" i="27" a="1"/>
  <c r="AQ43" i="27" s="1"/>
  <c r="AP43" i="27" a="1"/>
  <c r="AP43" i="27" s="1"/>
  <c r="AO43" i="27" a="1"/>
  <c r="AO43" i="27" s="1"/>
  <c r="AN43" i="27" a="1"/>
  <c r="AN43" i="27" s="1"/>
  <c r="AM43" i="27" a="1"/>
  <c r="AM43" i="27" s="1"/>
  <c r="AL43" i="27" a="1"/>
  <c r="AL43" i="27" s="1"/>
  <c r="AK43" i="27" a="1"/>
  <c r="AK43" i="27" s="1"/>
  <c r="AJ43" i="27" a="1"/>
  <c r="AJ43" i="27" s="1"/>
  <c r="AI43" i="27" a="1"/>
  <c r="AI43" i="27" s="1"/>
  <c r="AH43" i="27" a="1"/>
  <c r="AH43" i="27" s="1"/>
  <c r="AG43" i="27" a="1"/>
  <c r="AG43" i="27" s="1"/>
  <c r="AF43" i="27" a="1"/>
  <c r="AF43" i="27" s="1"/>
  <c r="AB43" i="27"/>
  <c r="BP42" i="27"/>
  <c r="BA42" i="27"/>
  <c r="AU42" i="27"/>
  <c r="AR42" i="27" a="1"/>
  <c r="AR42" i="27" s="1"/>
  <c r="AQ42" i="27" a="1"/>
  <c r="AQ42" i="27" s="1"/>
  <c r="AP42" i="27" a="1"/>
  <c r="AP42" i="27" s="1"/>
  <c r="AO42" i="27" a="1"/>
  <c r="AO42" i="27" s="1"/>
  <c r="AN42" i="27" a="1"/>
  <c r="AN42" i="27" s="1"/>
  <c r="AM42" i="27" a="1"/>
  <c r="AM42" i="27" s="1"/>
  <c r="AL42" i="27" a="1"/>
  <c r="AL42" i="27" s="1"/>
  <c r="AK42" i="27" a="1"/>
  <c r="AK42" i="27" s="1"/>
  <c r="AJ42" i="27" a="1"/>
  <c r="AJ42" i="27" s="1"/>
  <c r="AI42" i="27" a="1"/>
  <c r="AI42" i="27" s="1"/>
  <c r="AH42" i="27" a="1"/>
  <c r="AH42" i="27" s="1"/>
  <c r="AG42" i="27" a="1"/>
  <c r="AG42" i="27" s="1"/>
  <c r="AF42" i="27" a="1"/>
  <c r="AF42" i="27" s="1"/>
  <c r="AB42" i="27"/>
  <c r="BP41" i="27"/>
  <c r="BA41" i="27"/>
  <c r="AU41" i="27"/>
  <c r="AR41" i="27" a="1"/>
  <c r="AR41" i="27" s="1"/>
  <c r="AQ41" i="27" a="1"/>
  <c r="AQ41" i="27" s="1"/>
  <c r="AP41" i="27" a="1"/>
  <c r="AP41" i="27" s="1"/>
  <c r="AO41" i="27" a="1"/>
  <c r="AO41" i="27" s="1"/>
  <c r="AN41" i="27" a="1"/>
  <c r="AN41" i="27" s="1"/>
  <c r="AM41" i="27" a="1"/>
  <c r="AM41" i="27" s="1"/>
  <c r="AL41" i="27" a="1"/>
  <c r="AL41" i="27" s="1"/>
  <c r="AK41" i="27" a="1"/>
  <c r="AK41" i="27" s="1"/>
  <c r="AJ41" i="27" a="1"/>
  <c r="AJ41" i="27" s="1"/>
  <c r="AI41" i="27" a="1"/>
  <c r="AI41" i="27" s="1"/>
  <c r="AH41" i="27" a="1"/>
  <c r="AH41" i="27" s="1"/>
  <c r="AG41" i="27" a="1"/>
  <c r="AG41" i="27" s="1"/>
  <c r="AF41" i="27" a="1"/>
  <c r="AF41" i="27" s="1"/>
  <c r="AB41" i="27"/>
  <c r="BP40" i="27"/>
  <c r="BA40" i="27"/>
  <c r="AU40" i="27"/>
  <c r="AR40" i="27" a="1"/>
  <c r="AR40" i="27" s="1"/>
  <c r="AQ40" i="27" a="1"/>
  <c r="AQ40" i="27" s="1"/>
  <c r="AP40" i="27" a="1"/>
  <c r="AP40" i="27" s="1"/>
  <c r="AO40" i="27" a="1"/>
  <c r="AO40" i="27" s="1"/>
  <c r="AN40" i="27" a="1"/>
  <c r="AN40" i="27" s="1"/>
  <c r="AM40" i="27" a="1"/>
  <c r="AM40" i="27" s="1"/>
  <c r="AL40" i="27" a="1"/>
  <c r="AL40" i="27" s="1"/>
  <c r="AK40" i="27" a="1"/>
  <c r="AK40" i="27" s="1"/>
  <c r="AJ40" i="27" a="1"/>
  <c r="AJ40" i="27" s="1"/>
  <c r="AI40" i="27" a="1"/>
  <c r="AI40" i="27" s="1"/>
  <c r="AH40" i="27" a="1"/>
  <c r="AH40" i="27" s="1"/>
  <c r="AG40" i="27" a="1"/>
  <c r="AG40" i="27" s="1"/>
  <c r="AF40" i="27" a="1"/>
  <c r="AF40" i="27" s="1"/>
  <c r="AB40" i="27"/>
  <c r="BP39" i="27"/>
  <c r="BA39" i="27"/>
  <c r="AU39" i="27"/>
  <c r="AR39" i="27" a="1"/>
  <c r="AR39" i="27" s="1"/>
  <c r="AQ39" i="27" a="1"/>
  <c r="AQ39" i="27" s="1"/>
  <c r="AP39" i="27" a="1"/>
  <c r="AP39" i="27" s="1"/>
  <c r="AO39" i="27" a="1"/>
  <c r="AO39" i="27" s="1"/>
  <c r="AN39" i="27" a="1"/>
  <c r="AN39" i="27" s="1"/>
  <c r="AM39" i="27" a="1"/>
  <c r="AM39" i="27" s="1"/>
  <c r="AL39" i="27" a="1"/>
  <c r="AL39" i="27" s="1"/>
  <c r="AK39" i="27" a="1"/>
  <c r="AK39" i="27" s="1"/>
  <c r="AJ39" i="27" a="1"/>
  <c r="AJ39" i="27" s="1"/>
  <c r="AI39" i="27" a="1"/>
  <c r="AI39" i="27" s="1"/>
  <c r="AH39" i="27" a="1"/>
  <c r="AH39" i="27" s="1"/>
  <c r="AG39" i="27" a="1"/>
  <c r="AG39" i="27" s="1"/>
  <c r="AF39" i="27" a="1"/>
  <c r="AF39" i="27" s="1"/>
  <c r="AB39" i="27"/>
  <c r="BP38" i="27"/>
  <c r="BA38" i="27"/>
  <c r="AU38" i="27"/>
  <c r="AR38" i="27" a="1"/>
  <c r="AR38" i="27" s="1"/>
  <c r="AQ38" i="27" a="1"/>
  <c r="AQ38" i="27" s="1"/>
  <c r="AP38" i="27" a="1"/>
  <c r="AP38" i="27" s="1"/>
  <c r="AO38" i="27" a="1"/>
  <c r="AO38" i="27" s="1"/>
  <c r="AN38" i="27" a="1"/>
  <c r="AN38" i="27" s="1"/>
  <c r="AM38" i="27" a="1"/>
  <c r="AM38" i="27" s="1"/>
  <c r="AL38" i="27" a="1"/>
  <c r="AL38" i="27" s="1"/>
  <c r="AK38" i="27" a="1"/>
  <c r="AK38" i="27" s="1"/>
  <c r="AJ38" i="27" a="1"/>
  <c r="AJ38" i="27" s="1"/>
  <c r="AI38" i="27" a="1"/>
  <c r="AI38" i="27" s="1"/>
  <c r="AH38" i="27" a="1"/>
  <c r="AH38" i="27" s="1"/>
  <c r="AG38" i="27" a="1"/>
  <c r="AG38" i="27" s="1"/>
  <c r="AF38" i="27" a="1"/>
  <c r="AF38" i="27" s="1"/>
  <c r="AB38" i="27"/>
  <c r="BP37" i="27"/>
  <c r="BA37" i="27"/>
  <c r="AU37" i="27"/>
  <c r="AR37" i="27" a="1"/>
  <c r="AR37" i="27" s="1"/>
  <c r="AQ37" i="27" a="1"/>
  <c r="AQ37" i="27" s="1"/>
  <c r="AP37" i="27" a="1"/>
  <c r="AP37" i="27" s="1"/>
  <c r="AO37" i="27" a="1"/>
  <c r="AO37" i="27" s="1"/>
  <c r="AN37" i="27" a="1"/>
  <c r="AN37" i="27" s="1"/>
  <c r="AM37" i="27" a="1"/>
  <c r="AM37" i="27" s="1"/>
  <c r="AL37" i="27" a="1"/>
  <c r="AL37" i="27" s="1"/>
  <c r="AK37" i="27" a="1"/>
  <c r="AK37" i="27" s="1"/>
  <c r="AJ37" i="27" a="1"/>
  <c r="AJ37" i="27" s="1"/>
  <c r="AI37" i="27" a="1"/>
  <c r="AI37" i="27" s="1"/>
  <c r="AH37" i="27" a="1"/>
  <c r="AH37" i="27" s="1"/>
  <c r="AG37" i="27" a="1"/>
  <c r="AG37" i="27" s="1"/>
  <c r="AF37" i="27" a="1"/>
  <c r="AF37" i="27" s="1"/>
  <c r="AB37" i="27"/>
  <c r="BP36" i="27"/>
  <c r="BA36" i="27"/>
  <c r="BC36" i="27" s="1"/>
  <c r="AU36" i="27"/>
  <c r="AR36" i="27" a="1"/>
  <c r="AR36" i="27" s="1"/>
  <c r="AQ36" i="27" a="1"/>
  <c r="AQ36" i="27" s="1"/>
  <c r="AP36" i="27" a="1"/>
  <c r="AP36" i="27" s="1"/>
  <c r="AO36" i="27" a="1"/>
  <c r="AO36" i="27" s="1"/>
  <c r="AN36" i="27" a="1"/>
  <c r="AN36" i="27" s="1"/>
  <c r="AM36" i="27" a="1"/>
  <c r="AM36" i="27" s="1"/>
  <c r="AL36" i="27" a="1"/>
  <c r="AL36" i="27" s="1"/>
  <c r="AK36" i="27" a="1"/>
  <c r="AK36" i="27" s="1"/>
  <c r="AJ36" i="27" a="1"/>
  <c r="AJ36" i="27" s="1"/>
  <c r="AI36" i="27" a="1"/>
  <c r="AI36" i="27" s="1"/>
  <c r="AH36" i="27" a="1"/>
  <c r="AH36" i="27" s="1"/>
  <c r="AG36" i="27" a="1"/>
  <c r="AG36" i="27" s="1"/>
  <c r="AF36" i="27" a="1"/>
  <c r="AF36" i="27" s="1"/>
  <c r="BP35" i="27"/>
  <c r="BA35" i="27"/>
  <c r="AU35" i="27"/>
  <c r="AR35" i="27" a="1"/>
  <c r="AR35" i="27" s="1"/>
  <c r="AQ35" i="27" a="1"/>
  <c r="AQ35" i="27" s="1"/>
  <c r="AP35" i="27" a="1"/>
  <c r="AP35" i="27" s="1"/>
  <c r="AO35" i="27" a="1"/>
  <c r="AO35" i="27" s="1"/>
  <c r="AN35" i="27" a="1"/>
  <c r="AN35" i="27" s="1"/>
  <c r="AM35" i="27" a="1"/>
  <c r="AM35" i="27" s="1"/>
  <c r="AL35" i="27" a="1"/>
  <c r="AL35" i="27" s="1"/>
  <c r="AK35" i="27" a="1"/>
  <c r="AK35" i="27" s="1"/>
  <c r="AJ35" i="27" a="1"/>
  <c r="AJ35" i="27" s="1"/>
  <c r="AI35" i="27" a="1"/>
  <c r="AI35" i="27" s="1"/>
  <c r="AH35" i="27" a="1"/>
  <c r="AH35" i="27" s="1"/>
  <c r="AG35" i="27" a="1"/>
  <c r="AG35" i="27" s="1"/>
  <c r="AF35" i="27" a="1"/>
  <c r="AF35" i="27" s="1"/>
  <c r="BP34" i="27"/>
  <c r="BA34" i="27"/>
  <c r="BC34" i="27" s="1"/>
  <c r="AU34" i="27"/>
  <c r="AR34" i="27" a="1"/>
  <c r="AR34" i="27" s="1"/>
  <c r="AQ34" i="27" a="1"/>
  <c r="AQ34" i="27" s="1"/>
  <c r="AP34" i="27" a="1"/>
  <c r="AP34" i="27" s="1"/>
  <c r="AO34" i="27" a="1"/>
  <c r="AO34" i="27" s="1"/>
  <c r="AN34" i="27" a="1"/>
  <c r="AN34" i="27" s="1"/>
  <c r="AM34" i="27" a="1"/>
  <c r="AM34" i="27" s="1"/>
  <c r="AL34" i="27" a="1"/>
  <c r="AL34" i="27" s="1"/>
  <c r="AK34" i="27" a="1"/>
  <c r="AK34" i="27" s="1"/>
  <c r="AJ34" i="27" a="1"/>
  <c r="AJ34" i="27" s="1"/>
  <c r="AI34" i="27" a="1"/>
  <c r="AI34" i="27" s="1"/>
  <c r="AH34" i="27" a="1"/>
  <c r="AH34" i="27" s="1"/>
  <c r="AG34" i="27" a="1"/>
  <c r="AG34" i="27" s="1"/>
  <c r="AF34" i="27" a="1"/>
  <c r="AF34" i="27" s="1"/>
  <c r="BP33" i="27"/>
  <c r="BA33" i="27"/>
  <c r="BB33" i="27" s="1"/>
  <c r="AU33" i="27"/>
  <c r="AR33" i="27" a="1"/>
  <c r="AR33" i="27" s="1"/>
  <c r="AQ33" i="27" a="1"/>
  <c r="AQ33" i="27" s="1"/>
  <c r="AP33" i="27" a="1"/>
  <c r="AP33" i="27" s="1"/>
  <c r="AO33" i="27" a="1"/>
  <c r="AO33" i="27" s="1"/>
  <c r="AN33" i="27" a="1"/>
  <c r="AN33" i="27" s="1"/>
  <c r="AM33" i="27" a="1"/>
  <c r="AM33" i="27" s="1"/>
  <c r="AL33" i="27" a="1"/>
  <c r="AL33" i="27" s="1"/>
  <c r="AK33" i="27" a="1"/>
  <c r="AK33" i="27" s="1"/>
  <c r="AJ33" i="27" a="1"/>
  <c r="AJ33" i="27" s="1"/>
  <c r="AI33" i="27" a="1"/>
  <c r="AI33" i="27" s="1"/>
  <c r="AH33" i="27" a="1"/>
  <c r="AH33" i="27" s="1"/>
  <c r="AG33" i="27" a="1"/>
  <c r="AG33" i="27" s="1"/>
  <c r="AF33" i="27" a="1"/>
  <c r="AF33" i="27" s="1"/>
  <c r="BP32" i="27"/>
  <c r="BA32" i="27"/>
  <c r="BB32" i="27" s="1"/>
  <c r="AU32" i="27"/>
  <c r="AR32" i="27" a="1"/>
  <c r="AR32" i="27" s="1"/>
  <c r="AQ32" i="27" a="1"/>
  <c r="AQ32" i="27" s="1"/>
  <c r="AP32" i="27" a="1"/>
  <c r="AP32" i="27" s="1"/>
  <c r="AO32" i="27" a="1"/>
  <c r="AO32" i="27" s="1"/>
  <c r="AN32" i="27" a="1"/>
  <c r="AN32" i="27" s="1"/>
  <c r="AM32" i="27" a="1"/>
  <c r="AM32" i="27" s="1"/>
  <c r="AL32" i="27" a="1"/>
  <c r="AL32" i="27" s="1"/>
  <c r="AK32" i="27" a="1"/>
  <c r="AK32" i="27" s="1"/>
  <c r="AJ32" i="27" a="1"/>
  <c r="AJ32" i="27" s="1"/>
  <c r="AI32" i="27" a="1"/>
  <c r="AI32" i="27" s="1"/>
  <c r="AH32" i="27" a="1"/>
  <c r="AH32" i="27" s="1"/>
  <c r="AG32" i="27" a="1"/>
  <c r="AG32" i="27" s="1"/>
  <c r="AF32" i="27" a="1"/>
  <c r="AF32" i="27" s="1"/>
  <c r="AB32" i="27"/>
  <c r="BP31" i="27"/>
  <c r="BA31" i="27"/>
  <c r="BC31" i="27" s="1"/>
  <c r="AU31" i="27"/>
  <c r="AR31" i="27" a="1"/>
  <c r="AR31" i="27" s="1"/>
  <c r="AQ31" i="27" a="1"/>
  <c r="AQ31" i="27" s="1"/>
  <c r="AP31" i="27" a="1"/>
  <c r="AP31" i="27" s="1"/>
  <c r="AO31" i="27" a="1"/>
  <c r="AO31" i="27" s="1"/>
  <c r="AN31" i="27" a="1"/>
  <c r="AN31" i="27" s="1"/>
  <c r="AM31" i="27" a="1"/>
  <c r="AM31" i="27" s="1"/>
  <c r="AL31" i="27" a="1"/>
  <c r="AL31" i="27" s="1"/>
  <c r="AK31" i="27" a="1"/>
  <c r="AK31" i="27" s="1"/>
  <c r="AJ31" i="27" a="1"/>
  <c r="AJ31" i="27" s="1"/>
  <c r="AI31" i="27" a="1"/>
  <c r="AI31" i="27" s="1"/>
  <c r="AH31" i="27" a="1"/>
  <c r="AH31" i="27" s="1"/>
  <c r="AG31" i="27" a="1"/>
  <c r="AG31" i="27" s="1"/>
  <c r="AF31" i="27" a="1"/>
  <c r="AF31" i="27" s="1"/>
  <c r="AB31" i="27"/>
  <c r="BP30" i="27"/>
  <c r="BA30" i="27"/>
  <c r="AU30" i="27"/>
  <c r="AR30" i="27" a="1"/>
  <c r="AR30" i="27" s="1"/>
  <c r="AQ30" i="27" a="1"/>
  <c r="AQ30" i="27" s="1"/>
  <c r="AP30" i="27" a="1"/>
  <c r="AP30" i="27" s="1"/>
  <c r="AO30" i="27" a="1"/>
  <c r="AO30" i="27" s="1"/>
  <c r="AN30" i="27" a="1"/>
  <c r="AN30" i="27" s="1"/>
  <c r="AM30" i="27" a="1"/>
  <c r="AM30" i="27" s="1"/>
  <c r="AL30" i="27" a="1"/>
  <c r="AL30" i="27" s="1"/>
  <c r="AK30" i="27" a="1"/>
  <c r="AK30" i="27" s="1"/>
  <c r="AJ30" i="27" a="1"/>
  <c r="AJ30" i="27" s="1"/>
  <c r="AI30" i="27" a="1"/>
  <c r="AI30" i="27" s="1"/>
  <c r="AH30" i="27" a="1"/>
  <c r="AH30" i="27" s="1"/>
  <c r="AG30" i="27" a="1"/>
  <c r="AG30" i="27" s="1"/>
  <c r="AF30" i="27" a="1"/>
  <c r="AF30" i="27" s="1"/>
  <c r="BP29" i="27"/>
  <c r="BA29" i="27"/>
  <c r="AU29" i="27"/>
  <c r="AR29" i="27" a="1"/>
  <c r="AR29" i="27" s="1"/>
  <c r="AQ29" i="27" a="1"/>
  <c r="AQ29" i="27" s="1"/>
  <c r="AP29" i="27" a="1"/>
  <c r="AP29" i="27" s="1"/>
  <c r="AO29" i="27" a="1"/>
  <c r="AO29" i="27" s="1"/>
  <c r="AN29" i="27" a="1"/>
  <c r="AN29" i="27" s="1"/>
  <c r="AM29" i="27" a="1"/>
  <c r="AM29" i="27" s="1"/>
  <c r="AL29" i="27" a="1"/>
  <c r="AL29" i="27" s="1"/>
  <c r="AK29" i="27" a="1"/>
  <c r="AK29" i="27" s="1"/>
  <c r="AJ29" i="27" a="1"/>
  <c r="AJ29" i="27" s="1"/>
  <c r="AI29" i="27" a="1"/>
  <c r="AI29" i="27" s="1"/>
  <c r="AH29" i="27" a="1"/>
  <c r="AH29" i="27" s="1"/>
  <c r="AG29" i="27" a="1"/>
  <c r="AG29" i="27" s="1"/>
  <c r="AF29" i="27" a="1"/>
  <c r="AF29" i="27" s="1"/>
  <c r="BP28" i="27"/>
  <c r="BA28" i="27"/>
  <c r="BC28" i="27" s="1"/>
  <c r="AU28" i="27"/>
  <c r="AR28" i="27" a="1"/>
  <c r="AR28" i="27" s="1"/>
  <c r="AQ28" i="27" a="1"/>
  <c r="AQ28" i="27" s="1"/>
  <c r="AP28" i="27" a="1"/>
  <c r="AP28" i="27" s="1"/>
  <c r="AO28" i="27" a="1"/>
  <c r="AO28" i="27" s="1"/>
  <c r="AN28" i="27" a="1"/>
  <c r="AN28" i="27" s="1"/>
  <c r="AM28" i="27" a="1"/>
  <c r="AM28" i="27" s="1"/>
  <c r="AL28" i="27" a="1"/>
  <c r="AL28" i="27" s="1"/>
  <c r="AK28" i="27" a="1"/>
  <c r="AK28" i="27" s="1"/>
  <c r="AJ28" i="27" a="1"/>
  <c r="AJ28" i="27" s="1"/>
  <c r="AI28" i="27" a="1"/>
  <c r="AI28" i="27" s="1"/>
  <c r="AH28" i="27" a="1"/>
  <c r="AH28" i="27" s="1"/>
  <c r="AG28" i="27" a="1"/>
  <c r="AG28" i="27" s="1"/>
  <c r="AF28" i="27" a="1"/>
  <c r="AF28" i="27" s="1"/>
  <c r="AB28" i="27"/>
  <c r="BP27" i="27"/>
  <c r="BA27" i="27"/>
  <c r="BB27" i="27" s="1"/>
  <c r="AU27" i="27"/>
  <c r="AR27" i="27" a="1"/>
  <c r="AR27" i="27" s="1"/>
  <c r="AQ27" i="27" a="1"/>
  <c r="AQ27" i="27" s="1"/>
  <c r="AP27" i="27" a="1"/>
  <c r="AP27" i="27" s="1"/>
  <c r="AO27" i="27" a="1"/>
  <c r="AO27" i="27" s="1"/>
  <c r="AN27" i="27" a="1"/>
  <c r="AN27" i="27" s="1"/>
  <c r="AM27" i="27" a="1"/>
  <c r="AM27" i="27" s="1"/>
  <c r="AL27" i="27" a="1"/>
  <c r="AL27" i="27" s="1"/>
  <c r="AK27" i="27" a="1"/>
  <c r="AK27" i="27" s="1"/>
  <c r="AJ27" i="27" a="1"/>
  <c r="AJ27" i="27" s="1"/>
  <c r="AI27" i="27" a="1"/>
  <c r="AI27" i="27" s="1"/>
  <c r="AH27" i="27" a="1"/>
  <c r="AH27" i="27" s="1"/>
  <c r="AG27" i="27" a="1"/>
  <c r="AG27" i="27" s="1"/>
  <c r="AF27" i="27" a="1"/>
  <c r="AF27" i="27" s="1"/>
  <c r="BP26" i="27"/>
  <c r="BA26" i="27"/>
  <c r="BB26" i="27" s="1"/>
  <c r="AU26" i="27"/>
  <c r="AR26" i="27" a="1"/>
  <c r="AR26" i="27" s="1"/>
  <c r="AQ26" i="27" a="1"/>
  <c r="AQ26" i="27" s="1"/>
  <c r="AP26" i="27" a="1"/>
  <c r="AP26" i="27" s="1"/>
  <c r="AO26" i="27" a="1"/>
  <c r="AO26" i="27" s="1"/>
  <c r="AN26" i="27" a="1"/>
  <c r="AN26" i="27" s="1"/>
  <c r="AM26" i="27" a="1"/>
  <c r="AM26" i="27" s="1"/>
  <c r="AL26" i="27" a="1"/>
  <c r="AL26" i="27" s="1"/>
  <c r="AK26" i="27" a="1"/>
  <c r="AK26" i="27" s="1"/>
  <c r="AJ26" i="27" a="1"/>
  <c r="AJ26" i="27" s="1"/>
  <c r="AI26" i="27" a="1"/>
  <c r="AI26" i="27" s="1"/>
  <c r="AH26" i="27" a="1"/>
  <c r="AH26" i="27" s="1"/>
  <c r="AG26" i="27" a="1"/>
  <c r="AG26" i="27" s="1"/>
  <c r="AF26" i="27" a="1"/>
  <c r="AF26" i="27" s="1"/>
  <c r="AB26" i="27"/>
  <c r="BP25" i="27"/>
  <c r="BA25" i="27"/>
  <c r="BC25" i="27" s="1"/>
  <c r="AU25" i="27"/>
  <c r="AR25" i="27" a="1"/>
  <c r="AR25" i="27" s="1"/>
  <c r="AQ25" i="27" a="1"/>
  <c r="AQ25" i="27" s="1"/>
  <c r="AP25" i="27" a="1"/>
  <c r="AP25" i="27" s="1"/>
  <c r="AO25" i="27" a="1"/>
  <c r="AO25" i="27" s="1"/>
  <c r="AN25" i="27" a="1"/>
  <c r="AN25" i="27" s="1"/>
  <c r="AM25" i="27" a="1"/>
  <c r="AM25" i="27" s="1"/>
  <c r="AL25" i="27" a="1"/>
  <c r="AL25" i="27" s="1"/>
  <c r="AK25" i="27" a="1"/>
  <c r="AK25" i="27" s="1"/>
  <c r="AJ25" i="27" a="1"/>
  <c r="AJ25" i="27" s="1"/>
  <c r="AI25" i="27" a="1"/>
  <c r="AI25" i="27" s="1"/>
  <c r="AH25" i="27" a="1"/>
  <c r="AH25" i="27" s="1"/>
  <c r="AG25" i="27" a="1"/>
  <c r="AG25" i="27" s="1"/>
  <c r="AF25" i="27" a="1"/>
  <c r="AF25" i="27" s="1"/>
  <c r="BP24" i="27"/>
  <c r="BA24" i="27"/>
  <c r="BC24" i="27" s="1"/>
  <c r="AU24" i="27"/>
  <c r="AR24" i="27" a="1"/>
  <c r="AR24" i="27" s="1"/>
  <c r="AQ24" i="27" a="1"/>
  <c r="AQ24" i="27" s="1"/>
  <c r="AP24" i="27" a="1"/>
  <c r="AP24" i="27" s="1"/>
  <c r="AO24" i="27" a="1"/>
  <c r="AO24" i="27" s="1"/>
  <c r="AN24" i="27" a="1"/>
  <c r="AN24" i="27" s="1"/>
  <c r="AM24" i="27" a="1"/>
  <c r="AM24" i="27" s="1"/>
  <c r="AL24" i="27" a="1"/>
  <c r="AL24" i="27" s="1"/>
  <c r="AK24" i="27" a="1"/>
  <c r="AK24" i="27" s="1"/>
  <c r="AJ24" i="27" a="1"/>
  <c r="AJ24" i="27" s="1"/>
  <c r="AI24" i="27" a="1"/>
  <c r="AI24" i="27" s="1"/>
  <c r="AH24" i="27" a="1"/>
  <c r="AH24" i="27" s="1"/>
  <c r="AG24" i="27" a="1"/>
  <c r="AG24" i="27" s="1"/>
  <c r="AF24" i="27" a="1"/>
  <c r="AF24" i="27" s="1"/>
  <c r="BP23" i="27"/>
  <c r="BA23" i="27"/>
  <c r="BB23" i="27" s="1"/>
  <c r="AU23" i="27"/>
  <c r="AR23" i="27" a="1"/>
  <c r="AR23" i="27" s="1"/>
  <c r="AQ23" i="27" a="1"/>
  <c r="AQ23" i="27" s="1"/>
  <c r="AP23" i="27" a="1"/>
  <c r="AP23" i="27" s="1"/>
  <c r="AO23" i="27" a="1"/>
  <c r="AO23" i="27" s="1"/>
  <c r="AN23" i="27" a="1"/>
  <c r="AN23" i="27" s="1"/>
  <c r="AM23" i="27" a="1"/>
  <c r="AM23" i="27" s="1"/>
  <c r="AL23" i="27" a="1"/>
  <c r="AL23" i="27" s="1"/>
  <c r="AK23" i="27" a="1"/>
  <c r="AK23" i="27" s="1"/>
  <c r="AJ23" i="27" a="1"/>
  <c r="AJ23" i="27" s="1"/>
  <c r="AI23" i="27" a="1"/>
  <c r="AI23" i="27" s="1"/>
  <c r="AH23" i="27" a="1"/>
  <c r="AH23" i="27" s="1"/>
  <c r="AG23" i="27" a="1"/>
  <c r="AG23" i="27" s="1"/>
  <c r="AF23" i="27" a="1"/>
  <c r="AF23" i="27" s="1"/>
  <c r="BP22" i="27"/>
  <c r="BA22" i="27"/>
  <c r="BB22" i="27" s="1"/>
  <c r="AU22" i="27"/>
  <c r="AR22" i="27" a="1"/>
  <c r="AR22" i="27" s="1"/>
  <c r="AQ22" i="27" a="1"/>
  <c r="AQ22" i="27" s="1"/>
  <c r="AP22" i="27" a="1"/>
  <c r="AP22" i="27" s="1"/>
  <c r="AO22" i="27" a="1"/>
  <c r="AO22" i="27" s="1"/>
  <c r="AN22" i="27" a="1"/>
  <c r="AN22" i="27" s="1"/>
  <c r="AM22" i="27" a="1"/>
  <c r="AM22" i="27" s="1"/>
  <c r="AL22" i="27" a="1"/>
  <c r="AL22" i="27" s="1"/>
  <c r="AK22" i="27" a="1"/>
  <c r="AK22" i="27" s="1"/>
  <c r="AJ22" i="27" a="1"/>
  <c r="AJ22" i="27" s="1"/>
  <c r="AI22" i="27" a="1"/>
  <c r="AI22" i="27" s="1"/>
  <c r="AH22" i="27" a="1"/>
  <c r="AH22" i="27" s="1"/>
  <c r="AG22" i="27" a="1"/>
  <c r="AG22" i="27" s="1"/>
  <c r="AF22" i="27" a="1"/>
  <c r="AF22" i="27" s="1"/>
  <c r="BP21" i="27"/>
  <c r="BA21" i="27"/>
  <c r="BC21" i="27" s="1"/>
  <c r="AU21" i="27"/>
  <c r="AR21" i="27" a="1"/>
  <c r="AR21" i="27" s="1"/>
  <c r="AQ21" i="27" a="1"/>
  <c r="AQ21" i="27" s="1"/>
  <c r="AP21" i="27" a="1"/>
  <c r="AP21" i="27" s="1"/>
  <c r="AO21" i="27" a="1"/>
  <c r="AO21" i="27" s="1"/>
  <c r="AN21" i="27" a="1"/>
  <c r="AN21" i="27" s="1"/>
  <c r="AM21" i="27" a="1"/>
  <c r="AM21" i="27" s="1"/>
  <c r="AL21" i="27" a="1"/>
  <c r="AL21" i="27" s="1"/>
  <c r="AK21" i="27" a="1"/>
  <c r="AK21" i="27" s="1"/>
  <c r="AJ21" i="27" a="1"/>
  <c r="AJ21" i="27" s="1"/>
  <c r="AI21" i="27" a="1"/>
  <c r="AI21" i="27" s="1"/>
  <c r="AH21" i="27" a="1"/>
  <c r="AH21" i="27" s="1"/>
  <c r="AG21" i="27" a="1"/>
  <c r="AG21" i="27" s="1"/>
  <c r="AF21" i="27" a="1"/>
  <c r="AF21" i="27" s="1"/>
  <c r="BP20" i="27"/>
  <c r="BA20" i="27"/>
  <c r="BC20" i="27" s="1"/>
  <c r="AU20" i="27"/>
  <c r="AR20" i="27" a="1"/>
  <c r="AR20" i="27" s="1"/>
  <c r="AQ20" i="27" a="1"/>
  <c r="AQ20" i="27" s="1"/>
  <c r="AP20" i="27" a="1"/>
  <c r="AP20" i="27" s="1"/>
  <c r="AO20" i="27" a="1"/>
  <c r="AO20" i="27" s="1"/>
  <c r="AN20" i="27" a="1"/>
  <c r="AN20" i="27" s="1"/>
  <c r="AM20" i="27" a="1"/>
  <c r="AM20" i="27" s="1"/>
  <c r="AL20" i="27" a="1"/>
  <c r="AL20" i="27" s="1"/>
  <c r="AK20" i="27" a="1"/>
  <c r="AK20" i="27" s="1"/>
  <c r="AJ20" i="27" a="1"/>
  <c r="AJ20" i="27" s="1"/>
  <c r="AI20" i="27" a="1"/>
  <c r="AI20" i="27" s="1"/>
  <c r="AH20" i="27" a="1"/>
  <c r="AH20" i="27" s="1"/>
  <c r="AG20" i="27" a="1"/>
  <c r="AG20" i="27" s="1"/>
  <c r="AF20" i="27" a="1"/>
  <c r="AF20" i="27" s="1"/>
  <c r="BP19" i="27"/>
  <c r="BA19" i="27"/>
  <c r="AU19" i="27"/>
  <c r="AR19" i="27" a="1"/>
  <c r="AR19" i="27" s="1"/>
  <c r="AQ19" i="27" a="1"/>
  <c r="AQ19" i="27" s="1"/>
  <c r="AP19" i="27" a="1"/>
  <c r="AP19" i="27" s="1"/>
  <c r="AO19" i="27" a="1"/>
  <c r="AO19" i="27" s="1"/>
  <c r="AN19" i="27" a="1"/>
  <c r="AN19" i="27" s="1"/>
  <c r="AM19" i="27" a="1"/>
  <c r="AM19" i="27" s="1"/>
  <c r="AL19" i="27" a="1"/>
  <c r="AL19" i="27" s="1"/>
  <c r="AK19" i="27" a="1"/>
  <c r="AK19" i="27" s="1"/>
  <c r="AJ19" i="27" a="1"/>
  <c r="AJ19" i="27" s="1"/>
  <c r="AI19" i="27" a="1"/>
  <c r="AI19" i="27" s="1"/>
  <c r="AH19" i="27" a="1"/>
  <c r="AH19" i="27" s="1"/>
  <c r="AG19" i="27" a="1"/>
  <c r="AG19" i="27" s="1"/>
  <c r="AF19" i="27" a="1"/>
  <c r="AF19" i="27" s="1"/>
  <c r="BP18" i="27"/>
  <c r="BA18" i="27"/>
  <c r="AU18" i="27"/>
  <c r="AR18" i="27" a="1"/>
  <c r="AR18" i="27" s="1"/>
  <c r="AQ18" i="27" a="1"/>
  <c r="AQ18" i="27" s="1"/>
  <c r="AP18" i="27" a="1"/>
  <c r="AP18" i="27" s="1"/>
  <c r="AO18" i="27" a="1"/>
  <c r="AO18" i="27" s="1"/>
  <c r="AN18" i="27" a="1"/>
  <c r="AN18" i="27" s="1"/>
  <c r="AM18" i="27" a="1"/>
  <c r="AM18" i="27" s="1"/>
  <c r="AL18" i="27" a="1"/>
  <c r="AL18" i="27" s="1"/>
  <c r="AK18" i="27" a="1"/>
  <c r="AK18" i="27" s="1"/>
  <c r="AJ18" i="27" a="1"/>
  <c r="AJ18" i="27" s="1"/>
  <c r="AI18" i="27" a="1"/>
  <c r="AI18" i="27" s="1"/>
  <c r="AH18" i="27" a="1"/>
  <c r="AH18" i="27" s="1"/>
  <c r="AG18" i="27" a="1"/>
  <c r="AG18" i="27" s="1"/>
  <c r="AF18" i="27" a="1"/>
  <c r="AF18" i="27" s="1"/>
  <c r="AB18" i="27"/>
  <c r="BP17" i="27"/>
  <c r="BA17" i="27"/>
  <c r="BC17" i="27" s="1"/>
  <c r="AU17" i="27"/>
  <c r="AR17" i="27" a="1"/>
  <c r="AR17" i="27" s="1"/>
  <c r="AQ17" i="27" a="1"/>
  <c r="AQ17" i="27" s="1"/>
  <c r="AP17" i="27" a="1"/>
  <c r="AP17" i="27" s="1"/>
  <c r="AO17" i="27" a="1"/>
  <c r="AO17" i="27" s="1"/>
  <c r="AN17" i="27" a="1"/>
  <c r="AN17" i="27" s="1"/>
  <c r="AM17" i="27" a="1"/>
  <c r="AM17" i="27" s="1"/>
  <c r="AL17" i="27" a="1"/>
  <c r="AL17" i="27" s="1"/>
  <c r="AK17" i="27" a="1"/>
  <c r="AK17" i="27" s="1"/>
  <c r="AJ17" i="27" a="1"/>
  <c r="AJ17" i="27" s="1"/>
  <c r="AI17" i="27" a="1"/>
  <c r="AI17" i="27" s="1"/>
  <c r="AH17" i="27" a="1"/>
  <c r="AH17" i="27" s="1"/>
  <c r="AG17" i="27" a="1"/>
  <c r="AG17" i="27" s="1"/>
  <c r="AF17" i="27" a="1"/>
  <c r="AF17" i="27" s="1"/>
  <c r="AB17" i="27"/>
  <c r="BP16" i="27"/>
  <c r="BA16" i="27"/>
  <c r="BC16" i="27" s="1"/>
  <c r="AU16" i="27"/>
  <c r="AR16" i="27" a="1"/>
  <c r="AR16" i="27" s="1"/>
  <c r="AQ16" i="27" a="1"/>
  <c r="AQ16" i="27" s="1"/>
  <c r="AP16" i="27" a="1"/>
  <c r="AP16" i="27" s="1"/>
  <c r="AO16" i="27" a="1"/>
  <c r="AO16" i="27" s="1"/>
  <c r="AN16" i="27" a="1"/>
  <c r="AN16" i="27" s="1"/>
  <c r="AM16" i="27" a="1"/>
  <c r="AM16" i="27" s="1"/>
  <c r="AL16" i="27" a="1"/>
  <c r="AL16" i="27" s="1"/>
  <c r="AK16" i="27" a="1"/>
  <c r="AK16" i="27" s="1"/>
  <c r="AJ16" i="27" a="1"/>
  <c r="AJ16" i="27" s="1"/>
  <c r="AI16" i="27" a="1"/>
  <c r="AI16" i="27" s="1"/>
  <c r="AH16" i="27" a="1"/>
  <c r="AH16" i="27" s="1"/>
  <c r="AG16" i="27" a="1"/>
  <c r="AG16" i="27" s="1"/>
  <c r="AF16" i="27" a="1"/>
  <c r="AF16" i="27" s="1"/>
  <c r="AB16" i="27"/>
  <c r="BP15" i="27"/>
  <c r="BA15" i="27"/>
  <c r="BC15" i="27" s="1"/>
  <c r="AU15" i="27"/>
  <c r="AR15" i="27" a="1"/>
  <c r="AR15" i="27" s="1"/>
  <c r="AQ15" i="27" a="1"/>
  <c r="AQ15" i="27" s="1"/>
  <c r="AP15" i="27" a="1"/>
  <c r="AP15" i="27" s="1"/>
  <c r="AO15" i="27" a="1"/>
  <c r="AO15" i="27" s="1"/>
  <c r="AN15" i="27" a="1"/>
  <c r="AN15" i="27" s="1"/>
  <c r="AM15" i="27" a="1"/>
  <c r="AM15" i="27" s="1"/>
  <c r="AL15" i="27" a="1"/>
  <c r="AL15" i="27" s="1"/>
  <c r="AK15" i="27" a="1"/>
  <c r="AK15" i="27" s="1"/>
  <c r="AJ15" i="27" a="1"/>
  <c r="AJ15" i="27" s="1"/>
  <c r="AI15" i="27" a="1"/>
  <c r="AI15" i="27" s="1"/>
  <c r="AH15" i="27" a="1"/>
  <c r="AH15" i="27" s="1"/>
  <c r="AG15" i="27" a="1"/>
  <c r="AG15" i="27" s="1"/>
  <c r="AF15" i="27" a="1"/>
  <c r="AF15" i="27" s="1"/>
  <c r="AB15" i="27"/>
  <c r="BP14" i="27"/>
  <c r="BA14" i="27"/>
  <c r="AU14" i="27"/>
  <c r="AR14" i="27" a="1"/>
  <c r="AR14" i="27" s="1"/>
  <c r="AQ14" i="27" a="1"/>
  <c r="AQ14" i="27" s="1"/>
  <c r="AP14" i="27" a="1"/>
  <c r="AP14" i="27" s="1"/>
  <c r="AO14" i="27" a="1"/>
  <c r="AO14" i="27" s="1"/>
  <c r="AN14" i="27" a="1"/>
  <c r="AN14" i="27" s="1"/>
  <c r="AM14" i="27" a="1"/>
  <c r="AM14" i="27" s="1"/>
  <c r="AL14" i="27" a="1"/>
  <c r="AL14" i="27" s="1"/>
  <c r="AK14" i="27" a="1"/>
  <c r="AK14" i="27" s="1"/>
  <c r="AJ14" i="27" a="1"/>
  <c r="AJ14" i="27" s="1"/>
  <c r="AI14" i="27" a="1"/>
  <c r="AI14" i="27" s="1"/>
  <c r="AH14" i="27" a="1"/>
  <c r="AH14" i="27" s="1"/>
  <c r="AG14" i="27" a="1"/>
  <c r="AG14" i="27" s="1"/>
  <c r="AF14" i="27" a="1"/>
  <c r="AF14" i="27" s="1"/>
  <c r="AB14" i="27"/>
  <c r="BP13" i="27"/>
  <c r="BA13" i="27"/>
  <c r="BB13" i="27" s="1"/>
  <c r="AU13" i="27"/>
  <c r="AR13" i="27" a="1"/>
  <c r="AR13" i="27" s="1"/>
  <c r="AQ13" i="27" a="1"/>
  <c r="AQ13" i="27" s="1"/>
  <c r="AP13" i="27" a="1"/>
  <c r="AP13" i="27" s="1"/>
  <c r="AO13" i="27" a="1"/>
  <c r="AO13" i="27" s="1"/>
  <c r="AN13" i="27" a="1"/>
  <c r="AN13" i="27" s="1"/>
  <c r="AM13" i="27" a="1"/>
  <c r="AM13" i="27" s="1"/>
  <c r="AL13" i="27" a="1"/>
  <c r="AL13" i="27" s="1"/>
  <c r="AK13" i="27" a="1"/>
  <c r="AK13" i="27" s="1"/>
  <c r="AJ13" i="27" a="1"/>
  <c r="AJ13" i="27" s="1"/>
  <c r="AI13" i="27" a="1"/>
  <c r="AI13" i="27" s="1"/>
  <c r="AH13" i="27" a="1"/>
  <c r="AH13" i="27" s="1"/>
  <c r="AG13" i="27" a="1"/>
  <c r="AG13" i="27" s="1"/>
  <c r="AF13" i="27" a="1"/>
  <c r="AF13" i="27" s="1"/>
  <c r="AB13" i="27"/>
  <c r="BP12" i="27"/>
  <c r="BA12" i="27"/>
  <c r="BB12" i="27" s="1"/>
  <c r="AU12" i="27"/>
  <c r="AR12" i="27" a="1"/>
  <c r="AR12" i="27" s="1"/>
  <c r="AQ12" i="27" a="1"/>
  <c r="AQ12" i="27" s="1"/>
  <c r="AP12" i="27" a="1"/>
  <c r="AP12" i="27" s="1"/>
  <c r="AO12" i="27" a="1"/>
  <c r="AO12" i="27" s="1"/>
  <c r="AN12" i="27" a="1"/>
  <c r="AN12" i="27" s="1"/>
  <c r="AM12" i="27" a="1"/>
  <c r="AM12" i="27" s="1"/>
  <c r="AL12" i="27" a="1"/>
  <c r="AL12" i="27" s="1"/>
  <c r="AK12" i="27" a="1"/>
  <c r="AK12" i="27" s="1"/>
  <c r="AJ12" i="27" a="1"/>
  <c r="AJ12" i="27" s="1"/>
  <c r="AI12" i="27" a="1"/>
  <c r="AI12" i="27" s="1"/>
  <c r="AH12" i="27" a="1"/>
  <c r="AH12" i="27" s="1"/>
  <c r="AG12" i="27" a="1"/>
  <c r="AG12" i="27" s="1"/>
  <c r="AF12" i="27" a="1"/>
  <c r="AF12" i="27" s="1"/>
  <c r="AB12" i="27"/>
  <c r="BP11" i="27"/>
  <c r="BA11" i="27"/>
  <c r="BC11" i="27" s="1"/>
  <c r="AU11" i="27"/>
  <c r="AR11" i="27" a="1"/>
  <c r="AR11" i="27" s="1"/>
  <c r="AQ11" i="27" a="1"/>
  <c r="AQ11" i="27" s="1"/>
  <c r="AP11" i="27" a="1"/>
  <c r="AP11" i="27" s="1"/>
  <c r="AO11" i="27" a="1"/>
  <c r="AO11" i="27" s="1"/>
  <c r="AN11" i="27" a="1"/>
  <c r="AN11" i="27" s="1"/>
  <c r="AM11" i="27" a="1"/>
  <c r="AM11" i="27" s="1"/>
  <c r="AL11" i="27" a="1"/>
  <c r="AL11" i="27" s="1"/>
  <c r="AK11" i="27" a="1"/>
  <c r="AK11" i="27" s="1"/>
  <c r="AJ11" i="27" a="1"/>
  <c r="AJ11" i="27" s="1"/>
  <c r="AI11" i="27" a="1"/>
  <c r="AI11" i="27" s="1"/>
  <c r="AH11" i="27" a="1"/>
  <c r="AH11" i="27" s="1"/>
  <c r="AG11" i="27" a="1"/>
  <c r="AG11" i="27" s="1"/>
  <c r="AF11" i="27" a="1"/>
  <c r="AF11" i="27" s="1"/>
  <c r="AB11" i="27"/>
  <c r="BP10" i="27"/>
  <c r="BA10" i="27"/>
  <c r="AU10" i="27"/>
  <c r="AR10" i="27" a="1"/>
  <c r="AR10" i="27" s="1"/>
  <c r="AQ10" i="27" a="1"/>
  <c r="AQ10" i="27" s="1"/>
  <c r="AP10" i="27" a="1"/>
  <c r="AP10" i="27" s="1"/>
  <c r="AO10" i="27" a="1"/>
  <c r="AO10" i="27" s="1"/>
  <c r="AN10" i="27" a="1"/>
  <c r="AN10" i="27" s="1"/>
  <c r="AM10" i="27" a="1"/>
  <c r="AM10" i="27" s="1"/>
  <c r="AL10" i="27" a="1"/>
  <c r="AL10" i="27" s="1"/>
  <c r="AK10" i="27" a="1"/>
  <c r="AK10" i="27" s="1"/>
  <c r="AJ10" i="27" a="1"/>
  <c r="AJ10" i="27" s="1"/>
  <c r="AI10" i="27" a="1"/>
  <c r="AI10" i="27" s="1"/>
  <c r="AH10" i="27" a="1"/>
  <c r="AH10" i="27" s="1"/>
  <c r="AG10" i="27" a="1"/>
  <c r="AG10" i="27" s="1"/>
  <c r="AF10" i="27" a="1"/>
  <c r="AF10" i="27" s="1"/>
  <c r="AB10" i="27"/>
  <c r="BP9" i="27"/>
  <c r="BA9" i="27"/>
  <c r="AU9" i="27"/>
  <c r="AR9" i="27" a="1"/>
  <c r="AR9" i="27" s="1"/>
  <c r="AQ9" i="27" a="1"/>
  <c r="AQ9" i="27" s="1"/>
  <c r="AP9" i="27" a="1"/>
  <c r="AP9" i="27" s="1"/>
  <c r="AO9" i="27" a="1"/>
  <c r="AO9" i="27" s="1"/>
  <c r="AN9" i="27" a="1"/>
  <c r="AN9" i="27" s="1"/>
  <c r="AM9" i="27" a="1"/>
  <c r="AM9" i="27" s="1"/>
  <c r="AL9" i="27" a="1"/>
  <c r="AL9" i="27" s="1"/>
  <c r="AK9" i="27" a="1"/>
  <c r="AK9" i="27" s="1"/>
  <c r="AJ9" i="27" a="1"/>
  <c r="AJ9" i="27" s="1"/>
  <c r="AI9" i="27" a="1"/>
  <c r="AI9" i="27" s="1"/>
  <c r="AH9" i="27" a="1"/>
  <c r="AH9" i="27" s="1"/>
  <c r="AG9" i="27" a="1"/>
  <c r="AG9" i="27" s="1"/>
  <c r="AF9" i="27" a="1"/>
  <c r="AF9" i="27" s="1"/>
  <c r="BP8" i="27"/>
  <c r="BA8" i="27"/>
  <c r="BB8" i="27" s="1"/>
  <c r="AU8" i="27"/>
  <c r="AR8" i="27" a="1"/>
  <c r="AR8" i="27" s="1"/>
  <c r="AQ8" i="27" a="1"/>
  <c r="AQ8" i="27" s="1"/>
  <c r="AP8" i="27" a="1"/>
  <c r="AP8" i="27" s="1"/>
  <c r="AO8" i="27" a="1"/>
  <c r="AO8" i="27" s="1"/>
  <c r="AN8" i="27" a="1"/>
  <c r="AN8" i="27" s="1"/>
  <c r="AM8" i="27" a="1"/>
  <c r="AM8" i="27" s="1"/>
  <c r="AL8" i="27" a="1"/>
  <c r="AL8" i="27" s="1"/>
  <c r="AK8" i="27" a="1"/>
  <c r="AK8" i="27" s="1"/>
  <c r="AJ8" i="27" a="1"/>
  <c r="AJ8" i="27" s="1"/>
  <c r="AI8" i="27" a="1"/>
  <c r="AI8" i="27" s="1"/>
  <c r="AH8" i="27" a="1"/>
  <c r="AH8" i="27" s="1"/>
  <c r="AG8" i="27" a="1"/>
  <c r="AG8" i="27" s="1"/>
  <c r="AF8" i="27" a="1"/>
  <c r="AF8" i="27" s="1"/>
  <c r="AB8" i="27"/>
  <c r="BP7" i="27"/>
  <c r="BA7" i="27"/>
  <c r="BC7" i="27" s="1"/>
  <c r="AU7" i="27"/>
  <c r="AR7" i="27" a="1"/>
  <c r="AR7" i="27" s="1"/>
  <c r="AQ7" i="27" a="1"/>
  <c r="AQ7" i="27" s="1"/>
  <c r="AP7" i="27" a="1"/>
  <c r="AP7" i="27" s="1"/>
  <c r="AO7" i="27" a="1"/>
  <c r="AO7" i="27" s="1"/>
  <c r="AN7" i="27" a="1"/>
  <c r="AN7" i="27" s="1"/>
  <c r="AM7" i="27" a="1"/>
  <c r="AM7" i="27" s="1"/>
  <c r="AL7" i="27" a="1"/>
  <c r="AL7" i="27" s="1"/>
  <c r="AK7" i="27" a="1"/>
  <c r="AK7" i="27" s="1"/>
  <c r="AJ7" i="27" a="1"/>
  <c r="AJ7" i="27" s="1"/>
  <c r="AI7" i="27" a="1"/>
  <c r="AI7" i="27" s="1"/>
  <c r="AH7" i="27" a="1"/>
  <c r="AH7" i="27" s="1"/>
  <c r="AG7" i="27" a="1"/>
  <c r="AG7" i="27" s="1"/>
  <c r="AF7" i="27" a="1"/>
  <c r="AF7" i="27" s="1"/>
  <c r="AB7" i="27"/>
  <c r="BP6" i="27"/>
  <c r="BA6" i="27"/>
  <c r="BC6" i="27" s="1"/>
  <c r="AU6" i="27"/>
  <c r="AR6" i="27" a="1"/>
  <c r="AR6" i="27" s="1"/>
  <c r="AQ6" i="27" a="1"/>
  <c r="AQ6" i="27" s="1"/>
  <c r="AP6" i="27" a="1"/>
  <c r="AP6" i="27" s="1"/>
  <c r="AO6" i="27" a="1"/>
  <c r="AO6" i="27" s="1"/>
  <c r="AN6" i="27" a="1"/>
  <c r="AN6" i="27" s="1"/>
  <c r="AM6" i="27" a="1"/>
  <c r="AM6" i="27" s="1"/>
  <c r="AL6" i="27" a="1"/>
  <c r="AL6" i="27" s="1"/>
  <c r="AK6" i="27" a="1"/>
  <c r="AK6" i="27" s="1"/>
  <c r="AJ6" i="27" a="1"/>
  <c r="AJ6" i="27" s="1"/>
  <c r="AI6" i="27" a="1"/>
  <c r="AI6" i="27" s="1"/>
  <c r="AH6" i="27" a="1"/>
  <c r="AH6" i="27" s="1"/>
  <c r="AG6" i="27" a="1"/>
  <c r="AG6" i="27" s="1"/>
  <c r="AF6" i="27" a="1"/>
  <c r="AF6" i="27" s="1"/>
  <c r="AB6" i="27"/>
  <c r="BP5" i="27"/>
  <c r="BA5" i="27"/>
  <c r="BC5" i="27" s="1"/>
  <c r="AU5" i="27"/>
  <c r="AR5" i="27" a="1"/>
  <c r="AR5" i="27" s="1"/>
  <c r="AQ5" i="27" a="1"/>
  <c r="AQ5" i="27" s="1"/>
  <c r="AP5" i="27" a="1"/>
  <c r="AP5" i="27" s="1"/>
  <c r="AO5" i="27" a="1"/>
  <c r="AO5" i="27" s="1"/>
  <c r="AN5" i="27" a="1"/>
  <c r="AN5" i="27" s="1"/>
  <c r="AM5" i="27" a="1"/>
  <c r="AM5" i="27" s="1"/>
  <c r="AL5" i="27" a="1"/>
  <c r="AL5" i="27" s="1"/>
  <c r="AK5" i="27" a="1"/>
  <c r="AK5" i="27" s="1"/>
  <c r="AJ5" i="27" a="1"/>
  <c r="AJ5" i="27" s="1"/>
  <c r="AI5" i="27" a="1"/>
  <c r="AI5" i="27" s="1"/>
  <c r="AH5" i="27" a="1"/>
  <c r="AH5" i="27" s="1"/>
  <c r="AG5" i="27" a="1"/>
  <c r="AG5" i="27" s="1"/>
  <c r="AF5" i="27" a="1"/>
  <c r="AF5" i="27" s="1"/>
  <c r="AB5" i="27"/>
  <c r="BP4" i="27"/>
  <c r="BA4" i="27"/>
  <c r="BC4" i="27" s="1"/>
  <c r="AU4" i="27"/>
  <c r="AR4" i="27" a="1"/>
  <c r="AR4" i="27" s="1"/>
  <c r="AQ4" i="27" a="1"/>
  <c r="AQ4" i="27" s="1"/>
  <c r="AP4" i="27" a="1"/>
  <c r="AP4" i="27" s="1"/>
  <c r="AO4" i="27" a="1"/>
  <c r="AO4" i="27" s="1"/>
  <c r="AN4" i="27" a="1"/>
  <c r="AN4" i="27" s="1"/>
  <c r="AM4" i="27" a="1"/>
  <c r="AM4" i="27" s="1"/>
  <c r="AL4" i="27" a="1"/>
  <c r="AL4" i="27" s="1"/>
  <c r="AK4" i="27" a="1"/>
  <c r="AK4" i="27" s="1"/>
  <c r="AJ4" i="27" a="1"/>
  <c r="AJ4" i="27" s="1"/>
  <c r="AI4" i="27" a="1"/>
  <c r="AI4" i="27" s="1"/>
  <c r="AH4" i="27" a="1"/>
  <c r="AH4" i="27" s="1"/>
  <c r="AG4" i="27" a="1"/>
  <c r="AG4" i="27" s="1"/>
  <c r="AF4" i="27" a="1"/>
  <c r="AF4" i="27" s="1"/>
  <c r="AB4" i="27"/>
  <c r="BP3" i="27"/>
  <c r="BA3" i="27"/>
  <c r="BC3" i="27" s="1"/>
  <c r="AU3" i="27"/>
  <c r="AR3" i="27" a="1"/>
  <c r="AR3" i="27" s="1"/>
  <c r="AQ3" i="27" a="1"/>
  <c r="AQ3" i="27" s="1"/>
  <c r="AP3" i="27" a="1"/>
  <c r="AP3" i="27" s="1"/>
  <c r="AO3" i="27" a="1"/>
  <c r="AO3" i="27" s="1"/>
  <c r="AN3" i="27" a="1"/>
  <c r="AN3" i="27" s="1"/>
  <c r="AM3" i="27" a="1"/>
  <c r="AM3" i="27" s="1"/>
  <c r="AL3" i="27" a="1"/>
  <c r="AL3" i="27" s="1"/>
  <c r="AK3" i="27" a="1"/>
  <c r="AK3" i="27" s="1"/>
  <c r="AJ3" i="27" a="1"/>
  <c r="AJ3" i="27" s="1"/>
  <c r="AI3" i="27" a="1"/>
  <c r="AI3" i="27" s="1"/>
  <c r="AH3" i="27" a="1"/>
  <c r="AH3" i="27" s="1"/>
  <c r="AG3" i="27" a="1"/>
  <c r="AG3" i="27" s="1"/>
  <c r="AF3" i="27" a="1"/>
  <c r="AF3" i="27" s="1"/>
  <c r="BP2" i="27"/>
  <c r="BA2" i="27"/>
  <c r="BB2" i="27" s="1"/>
  <c r="AR2" i="27" a="1"/>
  <c r="AR2" i="27" s="1"/>
  <c r="AQ2" i="27" a="1"/>
  <c r="AQ2" i="27" s="1"/>
  <c r="AP2" i="27" a="1"/>
  <c r="AP2" i="27" s="1"/>
  <c r="AO2" i="27" a="1"/>
  <c r="AO2" i="27" s="1"/>
  <c r="AN2" i="27" a="1"/>
  <c r="AN2" i="27" s="1"/>
  <c r="AM2" i="27" a="1"/>
  <c r="AM2" i="27" s="1"/>
  <c r="AL2" i="27" a="1"/>
  <c r="AL2" i="27" s="1"/>
  <c r="AK2" i="27" a="1"/>
  <c r="AK2" i="27" s="1"/>
  <c r="AJ2" i="27" a="1"/>
  <c r="AJ2" i="27" s="1"/>
  <c r="AI2" i="27" a="1"/>
  <c r="AI2" i="27" s="1"/>
  <c r="AH2" i="27" a="1"/>
  <c r="AH2" i="27" s="1"/>
  <c r="AG2" i="27" a="1"/>
  <c r="AG2" i="27" s="1"/>
  <c r="AF2" i="27" a="1"/>
  <c r="AF2" i="27" s="1"/>
  <c r="BE180" i="26"/>
  <c r="BG180" i="26" s="1"/>
  <c r="BW180" i="26" s="1"/>
  <c r="AW180" i="26"/>
  <c r="AR180" i="26" a="1"/>
  <c r="AR180" i="26" s="1"/>
  <c r="AQ180" i="26" a="1"/>
  <c r="AQ180" i="26" s="1"/>
  <c r="AP180" i="26" a="1"/>
  <c r="AP180" i="26" s="1"/>
  <c r="AO180" i="26" a="1"/>
  <c r="AO180" i="26" s="1"/>
  <c r="AN180" i="26" a="1"/>
  <c r="AN180" i="26" s="1"/>
  <c r="AM180" i="26" a="1"/>
  <c r="AM180" i="26" s="1"/>
  <c r="AL180" i="26" a="1"/>
  <c r="AL180" i="26" s="1"/>
  <c r="AK180" i="26" a="1"/>
  <c r="AK180" i="26" s="1"/>
  <c r="AJ180" i="26" a="1"/>
  <c r="AJ180" i="26" s="1"/>
  <c r="AI180" i="26" a="1"/>
  <c r="AI180" i="26" s="1"/>
  <c r="AH180" i="26" a="1"/>
  <c r="AH180" i="26" s="1"/>
  <c r="AG180" i="26" a="1"/>
  <c r="AG180" i="26" s="1"/>
  <c r="AF180" i="26" a="1"/>
  <c r="AF180" i="26" s="1"/>
  <c r="BE179" i="26"/>
  <c r="AW179" i="26"/>
  <c r="AR179" i="26" a="1"/>
  <c r="AR179" i="26" s="1"/>
  <c r="AQ179" i="26" a="1"/>
  <c r="AQ179" i="26" s="1"/>
  <c r="AP179" i="26" a="1"/>
  <c r="AP179" i="26" s="1"/>
  <c r="AO179" i="26" a="1"/>
  <c r="AO179" i="26" s="1"/>
  <c r="AN179" i="26" a="1"/>
  <c r="AN179" i="26" s="1"/>
  <c r="AM179" i="26" a="1"/>
  <c r="AM179" i="26" s="1"/>
  <c r="AL179" i="26" a="1"/>
  <c r="AL179" i="26" s="1"/>
  <c r="AK179" i="26" a="1"/>
  <c r="AK179" i="26" s="1"/>
  <c r="AJ179" i="26" a="1"/>
  <c r="AJ179" i="26" s="1"/>
  <c r="AI179" i="26" a="1"/>
  <c r="AI179" i="26" s="1"/>
  <c r="AH179" i="26" a="1"/>
  <c r="AH179" i="26" s="1"/>
  <c r="AG179" i="26" a="1"/>
  <c r="AG179" i="26" s="1"/>
  <c r="AF179" i="26" a="1"/>
  <c r="AF179" i="26" s="1"/>
  <c r="BE178" i="26"/>
  <c r="AW178" i="26"/>
  <c r="AR178" i="26" a="1"/>
  <c r="AR178" i="26" s="1"/>
  <c r="AQ178" i="26" a="1"/>
  <c r="AQ178" i="26" s="1"/>
  <c r="AP178" i="26" a="1"/>
  <c r="AP178" i="26" s="1"/>
  <c r="AO178" i="26" a="1"/>
  <c r="AO178" i="26" s="1"/>
  <c r="AN178" i="26" a="1"/>
  <c r="AN178" i="26" s="1"/>
  <c r="AM178" i="26" a="1"/>
  <c r="AM178" i="26" s="1"/>
  <c r="AL178" i="26" a="1"/>
  <c r="AL178" i="26" s="1"/>
  <c r="AK178" i="26" a="1"/>
  <c r="AK178" i="26" s="1"/>
  <c r="AJ178" i="26" a="1"/>
  <c r="AJ178" i="26" s="1"/>
  <c r="AI178" i="26" a="1"/>
  <c r="AI178" i="26" s="1"/>
  <c r="AH178" i="26" a="1"/>
  <c r="AH178" i="26" s="1"/>
  <c r="AG178" i="26" a="1"/>
  <c r="AG178" i="26" s="1"/>
  <c r="AF178" i="26" a="1"/>
  <c r="AF178" i="26" s="1"/>
  <c r="BE177" i="26"/>
  <c r="BF177" i="26" s="1"/>
  <c r="AW177" i="26"/>
  <c r="AR177" i="26" a="1"/>
  <c r="AR177" i="26" s="1"/>
  <c r="AQ177" i="26" a="1"/>
  <c r="AQ177" i="26" s="1"/>
  <c r="AP177" i="26" a="1"/>
  <c r="AP177" i="26" s="1"/>
  <c r="AO177" i="26" a="1"/>
  <c r="AO177" i="26" s="1"/>
  <c r="AN177" i="26" a="1"/>
  <c r="AN177" i="26" s="1"/>
  <c r="AM177" i="26" a="1"/>
  <c r="AM177" i="26" s="1"/>
  <c r="AL177" i="26" a="1"/>
  <c r="AL177" i="26" s="1"/>
  <c r="AK177" i="26" a="1"/>
  <c r="AK177" i="26" s="1"/>
  <c r="AJ177" i="26" a="1"/>
  <c r="AJ177" i="26" s="1"/>
  <c r="AI177" i="26" a="1"/>
  <c r="AI177" i="26" s="1"/>
  <c r="AH177" i="26" a="1"/>
  <c r="AH177" i="26" s="1"/>
  <c r="AG177" i="26" a="1"/>
  <c r="AG177" i="26" s="1"/>
  <c r="AF177" i="26" a="1"/>
  <c r="AF177" i="26" s="1"/>
  <c r="BE176" i="26"/>
  <c r="AW176" i="26"/>
  <c r="AR176" i="26" a="1"/>
  <c r="AR176" i="26" s="1"/>
  <c r="AQ176" i="26" a="1"/>
  <c r="AQ176" i="26" s="1"/>
  <c r="AP176" i="26" a="1"/>
  <c r="AP176" i="26" s="1"/>
  <c r="AO176" i="26" a="1"/>
  <c r="AO176" i="26" s="1"/>
  <c r="AN176" i="26" a="1"/>
  <c r="AN176" i="26" s="1"/>
  <c r="AM176" i="26" a="1"/>
  <c r="AM176" i="26" s="1"/>
  <c r="AL176" i="26" a="1"/>
  <c r="AL176" i="26" s="1"/>
  <c r="AK176" i="26" a="1"/>
  <c r="AK176" i="26" s="1"/>
  <c r="AJ176" i="26" a="1"/>
  <c r="AJ176" i="26" s="1"/>
  <c r="AI176" i="26" a="1"/>
  <c r="AI176" i="26" s="1"/>
  <c r="AH176" i="26" a="1"/>
  <c r="AH176" i="26" s="1"/>
  <c r="AG176" i="26" a="1"/>
  <c r="AG176" i="26" s="1"/>
  <c r="AF176" i="26" a="1"/>
  <c r="AF176" i="26" s="1"/>
  <c r="BE175" i="26"/>
  <c r="AR175" i="26" a="1"/>
  <c r="AR175" i="26" s="1"/>
  <c r="AQ175" i="26" a="1"/>
  <c r="AQ175" i="26" s="1"/>
  <c r="AP175" i="26" a="1"/>
  <c r="AP175" i="26" s="1"/>
  <c r="AO175" i="26" a="1"/>
  <c r="AO175" i="26" s="1"/>
  <c r="AN175" i="26" a="1"/>
  <c r="AN175" i="26" s="1"/>
  <c r="AM175" i="26" a="1"/>
  <c r="AM175" i="26" s="1"/>
  <c r="AL175" i="26" a="1"/>
  <c r="AL175" i="26" s="1"/>
  <c r="AK175" i="26" a="1"/>
  <c r="AK175" i="26" s="1"/>
  <c r="AJ175" i="26" a="1"/>
  <c r="AJ175" i="26" s="1"/>
  <c r="AI175" i="26" a="1"/>
  <c r="AI175" i="26" s="1"/>
  <c r="AH175" i="26" a="1"/>
  <c r="AH175" i="26" s="1"/>
  <c r="AG175" i="26" a="1"/>
  <c r="AG175" i="26" s="1"/>
  <c r="AF175" i="26" a="1"/>
  <c r="AF175" i="26" s="1"/>
  <c r="BE174" i="26"/>
  <c r="BG174" i="26" s="1"/>
  <c r="BW174" i="26" s="1"/>
  <c r="AW174" i="26"/>
  <c r="AR174" i="26" a="1"/>
  <c r="AR174" i="26" s="1"/>
  <c r="AQ174" i="26" a="1"/>
  <c r="AQ174" i="26" s="1"/>
  <c r="AP174" i="26" a="1"/>
  <c r="AP174" i="26" s="1"/>
  <c r="AO174" i="26" a="1"/>
  <c r="AO174" i="26" s="1"/>
  <c r="AN174" i="26" a="1"/>
  <c r="AN174" i="26" s="1"/>
  <c r="AM174" i="26" a="1"/>
  <c r="AM174" i="26" s="1"/>
  <c r="AL174" i="26" a="1"/>
  <c r="AL174" i="26" s="1"/>
  <c r="AK174" i="26" a="1"/>
  <c r="AK174" i="26" s="1"/>
  <c r="AJ174" i="26" a="1"/>
  <c r="AJ174" i="26" s="1"/>
  <c r="AI174" i="26" a="1"/>
  <c r="AI174" i="26" s="1"/>
  <c r="AH174" i="26" a="1"/>
  <c r="AH174" i="26" s="1"/>
  <c r="AG174" i="26" a="1"/>
  <c r="AG174" i="26" s="1"/>
  <c r="AF174" i="26" a="1"/>
  <c r="AF174" i="26" s="1"/>
  <c r="BE173" i="26"/>
  <c r="BF173" i="26" s="1"/>
  <c r="AW173" i="26"/>
  <c r="AR173" i="26" a="1"/>
  <c r="AR173" i="26" s="1"/>
  <c r="AQ173" i="26" a="1"/>
  <c r="AQ173" i="26" s="1"/>
  <c r="AP173" i="26" a="1"/>
  <c r="AP173" i="26" s="1"/>
  <c r="AO173" i="26" a="1"/>
  <c r="AO173" i="26" s="1"/>
  <c r="AN173" i="26" a="1"/>
  <c r="AN173" i="26" s="1"/>
  <c r="AM173" i="26" a="1"/>
  <c r="AM173" i="26" s="1"/>
  <c r="AL173" i="26" a="1"/>
  <c r="AL173" i="26" s="1"/>
  <c r="AK173" i="26" a="1"/>
  <c r="AK173" i="26" s="1"/>
  <c r="AJ173" i="26" a="1"/>
  <c r="AJ173" i="26" s="1"/>
  <c r="AI173" i="26" a="1"/>
  <c r="AI173" i="26" s="1"/>
  <c r="AH173" i="26" a="1"/>
  <c r="AH173" i="26" s="1"/>
  <c r="AG173" i="26" a="1"/>
  <c r="AG173" i="26" s="1"/>
  <c r="AF173" i="26" a="1"/>
  <c r="AF173" i="26" s="1"/>
  <c r="BE172" i="26"/>
  <c r="BF172" i="26" s="1"/>
  <c r="AW172" i="26"/>
  <c r="AR172" i="26" a="1"/>
  <c r="AR172" i="26" s="1"/>
  <c r="AQ172" i="26" a="1"/>
  <c r="AQ172" i="26" s="1"/>
  <c r="AP172" i="26" a="1"/>
  <c r="AP172" i="26" s="1"/>
  <c r="AO172" i="26" a="1"/>
  <c r="AO172" i="26" s="1"/>
  <c r="AN172" i="26" a="1"/>
  <c r="AN172" i="26" s="1"/>
  <c r="AM172" i="26" a="1"/>
  <c r="AM172" i="26" s="1"/>
  <c r="AL172" i="26" a="1"/>
  <c r="AL172" i="26" s="1"/>
  <c r="AK172" i="26" a="1"/>
  <c r="AK172" i="26" s="1"/>
  <c r="AJ172" i="26" a="1"/>
  <c r="AJ172" i="26" s="1"/>
  <c r="AI172" i="26" a="1"/>
  <c r="AI172" i="26" s="1"/>
  <c r="AH172" i="26" a="1"/>
  <c r="AH172" i="26" s="1"/>
  <c r="AG172" i="26" a="1"/>
  <c r="AG172" i="26" s="1"/>
  <c r="AF172" i="26" a="1"/>
  <c r="AF172" i="26" s="1"/>
  <c r="BE171" i="26"/>
  <c r="BF171" i="26" s="1"/>
  <c r="AW171" i="26"/>
  <c r="AR171" i="26" a="1"/>
  <c r="AR171" i="26" s="1"/>
  <c r="AQ171" i="26" a="1"/>
  <c r="AQ171" i="26" s="1"/>
  <c r="AP171" i="26" a="1"/>
  <c r="AP171" i="26" s="1"/>
  <c r="AO171" i="26" a="1"/>
  <c r="AO171" i="26" s="1"/>
  <c r="AN171" i="26" a="1"/>
  <c r="AN171" i="26" s="1"/>
  <c r="AM171" i="26" a="1"/>
  <c r="AM171" i="26" s="1"/>
  <c r="AL171" i="26" a="1"/>
  <c r="AL171" i="26" s="1"/>
  <c r="AK171" i="26" a="1"/>
  <c r="AK171" i="26" s="1"/>
  <c r="AJ171" i="26" a="1"/>
  <c r="AJ171" i="26" s="1"/>
  <c r="AI171" i="26" a="1"/>
  <c r="AI171" i="26" s="1"/>
  <c r="AH171" i="26" a="1"/>
  <c r="AH171" i="26" s="1"/>
  <c r="AG171" i="26" a="1"/>
  <c r="AG171" i="26" s="1"/>
  <c r="AF171" i="26" a="1"/>
  <c r="AF171" i="26" s="1"/>
  <c r="BE170" i="26"/>
  <c r="BG170" i="26" s="1"/>
  <c r="BW170" i="26" s="1"/>
  <c r="AW170" i="26"/>
  <c r="AR170" i="26" a="1"/>
  <c r="AR170" i="26" s="1"/>
  <c r="AQ170" i="26" a="1"/>
  <c r="AQ170" i="26" s="1"/>
  <c r="AP170" i="26" a="1"/>
  <c r="AP170" i="26" s="1"/>
  <c r="AO170" i="26" a="1"/>
  <c r="AO170" i="26" s="1"/>
  <c r="AN170" i="26" a="1"/>
  <c r="AN170" i="26" s="1"/>
  <c r="AM170" i="26" a="1"/>
  <c r="AM170" i="26" s="1"/>
  <c r="AL170" i="26" a="1"/>
  <c r="AL170" i="26" s="1"/>
  <c r="AK170" i="26" a="1"/>
  <c r="AK170" i="26" s="1"/>
  <c r="AJ170" i="26" a="1"/>
  <c r="AJ170" i="26" s="1"/>
  <c r="AI170" i="26" a="1"/>
  <c r="AI170" i="26" s="1"/>
  <c r="AH170" i="26" a="1"/>
  <c r="AH170" i="26" s="1"/>
  <c r="AG170" i="26" a="1"/>
  <c r="AG170" i="26" s="1"/>
  <c r="AF170" i="26" a="1"/>
  <c r="AF170" i="26" s="1"/>
  <c r="BE169" i="26"/>
  <c r="BG169" i="26" s="1"/>
  <c r="BW169" i="26" s="1"/>
  <c r="AR169" i="26" a="1"/>
  <c r="AR169" i="26" s="1"/>
  <c r="AQ169" i="26" a="1"/>
  <c r="AQ169" i="26" s="1"/>
  <c r="AP169" i="26" a="1"/>
  <c r="AP169" i="26" s="1"/>
  <c r="AO169" i="26" a="1"/>
  <c r="AO169" i="26" s="1"/>
  <c r="AN169" i="26" a="1"/>
  <c r="AN169" i="26" s="1"/>
  <c r="AM169" i="26" a="1"/>
  <c r="AM169" i="26" s="1"/>
  <c r="AL169" i="26" a="1"/>
  <c r="AL169" i="26" s="1"/>
  <c r="AK169" i="26" a="1"/>
  <c r="AK169" i="26" s="1"/>
  <c r="AJ169" i="26" a="1"/>
  <c r="AJ169" i="26" s="1"/>
  <c r="AI169" i="26" a="1"/>
  <c r="AI169" i="26" s="1"/>
  <c r="AH169" i="26" a="1"/>
  <c r="AH169" i="26" s="1"/>
  <c r="AG169" i="26" a="1"/>
  <c r="AG169" i="26" s="1"/>
  <c r="AF169" i="26" a="1"/>
  <c r="AF169" i="26" s="1"/>
  <c r="BE168" i="26"/>
  <c r="BF168" i="26" s="1"/>
  <c r="AW168" i="26"/>
  <c r="AR168" i="26" a="1"/>
  <c r="AR168" i="26" s="1"/>
  <c r="AQ168" i="26" a="1"/>
  <c r="AQ168" i="26" s="1"/>
  <c r="AP168" i="26" a="1"/>
  <c r="AP168" i="26" s="1"/>
  <c r="AO168" i="26" a="1"/>
  <c r="AO168" i="26" s="1"/>
  <c r="AN168" i="26" a="1"/>
  <c r="AN168" i="26" s="1"/>
  <c r="AM168" i="26" a="1"/>
  <c r="AM168" i="26" s="1"/>
  <c r="AL168" i="26" a="1"/>
  <c r="AL168" i="26" s="1"/>
  <c r="AK168" i="26" a="1"/>
  <c r="AK168" i="26" s="1"/>
  <c r="AJ168" i="26" a="1"/>
  <c r="AJ168" i="26" s="1"/>
  <c r="AI168" i="26" a="1"/>
  <c r="AI168" i="26" s="1"/>
  <c r="AH168" i="26" a="1"/>
  <c r="AH168" i="26" s="1"/>
  <c r="AG168" i="26" a="1"/>
  <c r="AG168" i="26" s="1"/>
  <c r="AF168" i="26" a="1"/>
  <c r="AF168" i="26" s="1"/>
  <c r="BE167" i="26"/>
  <c r="BG167" i="26" s="1"/>
  <c r="BW167" i="26" s="1"/>
  <c r="AW167" i="26"/>
  <c r="AR167" i="26" a="1"/>
  <c r="AR167" i="26" s="1"/>
  <c r="AQ167" i="26" a="1"/>
  <c r="AQ167" i="26" s="1"/>
  <c r="AP167" i="26" a="1"/>
  <c r="AP167" i="26" s="1"/>
  <c r="AO167" i="26" a="1"/>
  <c r="AO167" i="26" s="1"/>
  <c r="AN167" i="26" a="1"/>
  <c r="AN167" i="26" s="1"/>
  <c r="AM167" i="26" a="1"/>
  <c r="AM167" i="26" s="1"/>
  <c r="AL167" i="26" a="1"/>
  <c r="AL167" i="26" s="1"/>
  <c r="AK167" i="26" a="1"/>
  <c r="AK167" i="26" s="1"/>
  <c r="AJ167" i="26" a="1"/>
  <c r="AJ167" i="26" s="1"/>
  <c r="AI167" i="26" a="1"/>
  <c r="AI167" i="26" s="1"/>
  <c r="AH167" i="26" a="1"/>
  <c r="AH167" i="26" s="1"/>
  <c r="AG167" i="26" a="1"/>
  <c r="AG167" i="26" s="1"/>
  <c r="AF167" i="26" a="1"/>
  <c r="AF167" i="26" s="1"/>
  <c r="BE166" i="26"/>
  <c r="BG166" i="26" s="1"/>
  <c r="BW166" i="26" s="1"/>
  <c r="AW166" i="26"/>
  <c r="AR166" i="26" a="1"/>
  <c r="AR166" i="26" s="1"/>
  <c r="AQ166" i="26" a="1"/>
  <c r="AQ166" i="26" s="1"/>
  <c r="AP166" i="26" a="1"/>
  <c r="AP166" i="26" s="1"/>
  <c r="AO166" i="26" a="1"/>
  <c r="AO166" i="26" s="1"/>
  <c r="AN166" i="26" a="1"/>
  <c r="AN166" i="26" s="1"/>
  <c r="AM166" i="26" a="1"/>
  <c r="AM166" i="26" s="1"/>
  <c r="AL166" i="26" a="1"/>
  <c r="AL166" i="26" s="1"/>
  <c r="AK166" i="26" a="1"/>
  <c r="AK166" i="26" s="1"/>
  <c r="AJ166" i="26" a="1"/>
  <c r="AJ166" i="26" s="1"/>
  <c r="AI166" i="26" a="1"/>
  <c r="AI166" i="26" s="1"/>
  <c r="AH166" i="26" a="1"/>
  <c r="AH166" i="26" s="1"/>
  <c r="AG166" i="26" a="1"/>
  <c r="AG166" i="26" s="1"/>
  <c r="AF166" i="26" a="1"/>
  <c r="AF166" i="26" s="1"/>
  <c r="BE165" i="26"/>
  <c r="AW165" i="26"/>
  <c r="AR165" i="26" a="1"/>
  <c r="AR165" i="26" s="1"/>
  <c r="AQ165" i="26" a="1"/>
  <c r="AQ165" i="26" s="1"/>
  <c r="AP165" i="26" a="1"/>
  <c r="AP165" i="26" s="1"/>
  <c r="AO165" i="26" a="1"/>
  <c r="AO165" i="26" s="1"/>
  <c r="AN165" i="26" a="1"/>
  <c r="AN165" i="26" s="1"/>
  <c r="AM165" i="26" a="1"/>
  <c r="AM165" i="26" s="1"/>
  <c r="AL165" i="26" a="1"/>
  <c r="AL165" i="26" s="1"/>
  <c r="AK165" i="26" a="1"/>
  <c r="AK165" i="26" s="1"/>
  <c r="AJ165" i="26" a="1"/>
  <c r="AJ165" i="26" s="1"/>
  <c r="AI165" i="26" a="1"/>
  <c r="AI165" i="26" s="1"/>
  <c r="AH165" i="26" a="1"/>
  <c r="AH165" i="26" s="1"/>
  <c r="AG165" i="26" a="1"/>
  <c r="AG165" i="26" s="1"/>
  <c r="AF165" i="26" a="1"/>
  <c r="AF165" i="26" s="1"/>
  <c r="BE164" i="26"/>
  <c r="BG164" i="26" s="1"/>
  <c r="BW164" i="26" s="1"/>
  <c r="AW164" i="26"/>
  <c r="AR164" i="26" a="1"/>
  <c r="AR164" i="26" s="1"/>
  <c r="AQ164" i="26" a="1"/>
  <c r="AQ164" i="26" s="1"/>
  <c r="AP164" i="26" a="1"/>
  <c r="AP164" i="26" s="1"/>
  <c r="AO164" i="26" a="1"/>
  <c r="AO164" i="26" s="1"/>
  <c r="AN164" i="26" a="1"/>
  <c r="AN164" i="26" s="1"/>
  <c r="AM164" i="26" a="1"/>
  <c r="AM164" i="26" s="1"/>
  <c r="AL164" i="26" a="1"/>
  <c r="AL164" i="26" s="1"/>
  <c r="AK164" i="26" a="1"/>
  <c r="AK164" i="26" s="1"/>
  <c r="AJ164" i="26" a="1"/>
  <c r="AJ164" i="26" s="1"/>
  <c r="AI164" i="26" a="1"/>
  <c r="AI164" i="26" s="1"/>
  <c r="AH164" i="26" a="1"/>
  <c r="AH164" i="26" s="1"/>
  <c r="AG164" i="26" a="1"/>
  <c r="AG164" i="26" s="1"/>
  <c r="AF164" i="26" a="1"/>
  <c r="AF164" i="26" s="1"/>
  <c r="BE163" i="26"/>
  <c r="BG163" i="26" s="1"/>
  <c r="BW163" i="26" s="1"/>
  <c r="AW163" i="26"/>
  <c r="AR163" i="26" a="1"/>
  <c r="AR163" i="26" s="1"/>
  <c r="AQ163" i="26" a="1"/>
  <c r="AQ163" i="26" s="1"/>
  <c r="AP163" i="26" a="1"/>
  <c r="AP163" i="26" s="1"/>
  <c r="AO163" i="26" a="1"/>
  <c r="AO163" i="26" s="1"/>
  <c r="AN163" i="26" a="1"/>
  <c r="AN163" i="26" s="1"/>
  <c r="AM163" i="26" a="1"/>
  <c r="AM163" i="26" s="1"/>
  <c r="AL163" i="26" a="1"/>
  <c r="AL163" i="26" s="1"/>
  <c r="AK163" i="26" a="1"/>
  <c r="AK163" i="26" s="1"/>
  <c r="AJ163" i="26" a="1"/>
  <c r="AJ163" i="26" s="1"/>
  <c r="AI163" i="26" a="1"/>
  <c r="AI163" i="26" s="1"/>
  <c r="AH163" i="26" a="1"/>
  <c r="AH163" i="26" s="1"/>
  <c r="AG163" i="26" a="1"/>
  <c r="AG163" i="26" s="1"/>
  <c r="AF163" i="26" a="1"/>
  <c r="AF163" i="26" s="1"/>
  <c r="BE162" i="26"/>
  <c r="AW162" i="26"/>
  <c r="AR162" i="26" a="1"/>
  <c r="AR162" i="26" s="1"/>
  <c r="AQ162" i="26" a="1"/>
  <c r="AQ162" i="26" s="1"/>
  <c r="AP162" i="26" a="1"/>
  <c r="AP162" i="26" s="1"/>
  <c r="AO162" i="26" a="1"/>
  <c r="AO162" i="26" s="1"/>
  <c r="AN162" i="26" a="1"/>
  <c r="AN162" i="26" s="1"/>
  <c r="AM162" i="26" a="1"/>
  <c r="AM162" i="26" s="1"/>
  <c r="AL162" i="26" a="1"/>
  <c r="AL162" i="26" s="1"/>
  <c r="AK162" i="26" a="1"/>
  <c r="AK162" i="26" s="1"/>
  <c r="AJ162" i="26" a="1"/>
  <c r="AJ162" i="26" s="1"/>
  <c r="AI162" i="26" a="1"/>
  <c r="AI162" i="26" s="1"/>
  <c r="AH162" i="26" a="1"/>
  <c r="AH162" i="26" s="1"/>
  <c r="AG162" i="26" a="1"/>
  <c r="AG162" i="26" s="1"/>
  <c r="AF162" i="26" a="1"/>
  <c r="AF162" i="26" s="1"/>
  <c r="BE161" i="26"/>
  <c r="AW161" i="26"/>
  <c r="AR161" i="26" a="1"/>
  <c r="AR161" i="26" s="1"/>
  <c r="AQ161" i="26" a="1"/>
  <c r="AQ161" i="26" s="1"/>
  <c r="AP161" i="26" a="1"/>
  <c r="AP161" i="26" s="1"/>
  <c r="AO161" i="26" a="1"/>
  <c r="AO161" i="26" s="1"/>
  <c r="AN161" i="26" a="1"/>
  <c r="AN161" i="26" s="1"/>
  <c r="AL161" i="26" a="1"/>
  <c r="AL161" i="26" s="1"/>
  <c r="AK161" i="26" a="1"/>
  <c r="AK161" i="26" s="1"/>
  <c r="AJ161" i="26" a="1"/>
  <c r="AJ161" i="26" s="1"/>
  <c r="AI161" i="26" a="1"/>
  <c r="AI161" i="26" s="1"/>
  <c r="AH161" i="26" a="1"/>
  <c r="AH161" i="26" s="1"/>
  <c r="AG161" i="26" a="1"/>
  <c r="AG161" i="26" s="1"/>
  <c r="AF161" i="26" a="1"/>
  <c r="AF161" i="26" s="1"/>
  <c r="BE160" i="26"/>
  <c r="BG160" i="26" s="1"/>
  <c r="BW160" i="26" s="1"/>
  <c r="AW160" i="26"/>
  <c r="AR160" i="26" a="1"/>
  <c r="AR160" i="26" s="1"/>
  <c r="AQ160" i="26" a="1"/>
  <c r="AQ160" i="26" s="1"/>
  <c r="AP160" i="26" a="1"/>
  <c r="AP160" i="26" s="1"/>
  <c r="AO160" i="26" a="1"/>
  <c r="AO160" i="26" s="1"/>
  <c r="AN160" i="26" a="1"/>
  <c r="AN160" i="26" s="1"/>
  <c r="AM160" i="26" a="1"/>
  <c r="AM160" i="26" s="1"/>
  <c r="AL160" i="26" a="1"/>
  <c r="AL160" i="26" s="1"/>
  <c r="AK160" i="26" a="1"/>
  <c r="AK160" i="26" s="1"/>
  <c r="AJ160" i="26" a="1"/>
  <c r="AJ160" i="26" s="1"/>
  <c r="AI160" i="26" a="1"/>
  <c r="AI160" i="26" s="1"/>
  <c r="AH160" i="26" a="1"/>
  <c r="AH160" i="26" s="1"/>
  <c r="AG160" i="26" a="1"/>
  <c r="AG160" i="26" s="1"/>
  <c r="AF160" i="26" a="1"/>
  <c r="AF160" i="26" s="1"/>
  <c r="BE159" i="26"/>
  <c r="BG159" i="26" s="1"/>
  <c r="BW159" i="26" s="1"/>
  <c r="AW159" i="26"/>
  <c r="AR159" i="26" a="1"/>
  <c r="AR159" i="26" s="1"/>
  <c r="AQ159" i="26" a="1"/>
  <c r="AQ159" i="26" s="1"/>
  <c r="AP159" i="26" a="1"/>
  <c r="AP159" i="26" s="1"/>
  <c r="AO159" i="26" a="1"/>
  <c r="AO159" i="26" s="1"/>
  <c r="AN159" i="26" a="1"/>
  <c r="AN159" i="26" s="1"/>
  <c r="AM159" i="26" a="1"/>
  <c r="AM159" i="26" s="1"/>
  <c r="AL159" i="26" a="1"/>
  <c r="AL159" i="26" s="1"/>
  <c r="AK159" i="26" a="1"/>
  <c r="AK159" i="26" s="1"/>
  <c r="AJ159" i="26" a="1"/>
  <c r="AJ159" i="26" s="1"/>
  <c r="AI159" i="26" a="1"/>
  <c r="AI159" i="26" s="1"/>
  <c r="AH159" i="26" a="1"/>
  <c r="AH159" i="26" s="1"/>
  <c r="AG159" i="26" a="1"/>
  <c r="AG159" i="26" s="1"/>
  <c r="AF159" i="26" a="1"/>
  <c r="AF159" i="26" s="1"/>
  <c r="BE158" i="26"/>
  <c r="BG158" i="26" s="1"/>
  <c r="BW158" i="26" s="1"/>
  <c r="AW158" i="26"/>
  <c r="AR158" i="26" a="1"/>
  <c r="AR158" i="26" s="1"/>
  <c r="AQ158" i="26" a="1"/>
  <c r="AQ158" i="26" s="1"/>
  <c r="AP158" i="26" a="1"/>
  <c r="AP158" i="26" s="1"/>
  <c r="AO158" i="26" a="1"/>
  <c r="AO158" i="26" s="1"/>
  <c r="AN158" i="26" a="1"/>
  <c r="AN158" i="26" s="1"/>
  <c r="AM158" i="26" a="1"/>
  <c r="AM158" i="26" s="1"/>
  <c r="AL158" i="26" a="1"/>
  <c r="AL158" i="26" s="1"/>
  <c r="AK158" i="26" a="1"/>
  <c r="AK158" i="26" s="1"/>
  <c r="AJ158" i="26" a="1"/>
  <c r="AJ158" i="26" s="1"/>
  <c r="AI158" i="26" a="1"/>
  <c r="AI158" i="26" s="1"/>
  <c r="AH158" i="26" a="1"/>
  <c r="AH158" i="26" s="1"/>
  <c r="AG158" i="26" a="1"/>
  <c r="AG158" i="26" s="1"/>
  <c r="AF158" i="26" a="1"/>
  <c r="AF158" i="26" s="1"/>
  <c r="BE157" i="26"/>
  <c r="AR157" i="26" a="1"/>
  <c r="AR157" i="26" s="1"/>
  <c r="AQ157" i="26" a="1"/>
  <c r="AQ157" i="26" s="1"/>
  <c r="AP157" i="26" a="1"/>
  <c r="AP157" i="26" s="1"/>
  <c r="AO157" i="26" a="1"/>
  <c r="AO157" i="26" s="1"/>
  <c r="AN157" i="26" a="1"/>
  <c r="AN157" i="26" s="1"/>
  <c r="AM157" i="26" a="1"/>
  <c r="AM157" i="26" s="1"/>
  <c r="AL157" i="26" a="1"/>
  <c r="AL157" i="26" s="1"/>
  <c r="AK157" i="26" a="1"/>
  <c r="AK157" i="26" s="1"/>
  <c r="AJ157" i="26" a="1"/>
  <c r="AJ157" i="26" s="1"/>
  <c r="AI157" i="26" a="1"/>
  <c r="AI157" i="26" s="1"/>
  <c r="AH157" i="26" a="1"/>
  <c r="AH157" i="26" s="1"/>
  <c r="AG157" i="26" a="1"/>
  <c r="AG157" i="26" s="1"/>
  <c r="AF157" i="26" a="1"/>
  <c r="AF157" i="26" s="1"/>
  <c r="BE156" i="26"/>
  <c r="BG156" i="26" s="1"/>
  <c r="BW156" i="26" s="1"/>
  <c r="AW156" i="26"/>
  <c r="AR156" i="26" a="1"/>
  <c r="AR156" i="26" s="1"/>
  <c r="AQ156" i="26" a="1"/>
  <c r="AQ156" i="26" s="1"/>
  <c r="AP156" i="26" a="1"/>
  <c r="AP156" i="26" s="1"/>
  <c r="AO156" i="26" a="1"/>
  <c r="AO156" i="26" s="1"/>
  <c r="AN156" i="26" a="1"/>
  <c r="AN156" i="26" s="1"/>
  <c r="AM156" i="26" a="1"/>
  <c r="AM156" i="26" s="1"/>
  <c r="AL156" i="26" a="1"/>
  <c r="AL156" i="26" s="1"/>
  <c r="AK156" i="26" a="1"/>
  <c r="AK156" i="26" s="1"/>
  <c r="AJ156" i="26" a="1"/>
  <c r="AJ156" i="26" s="1"/>
  <c r="AI156" i="26" a="1"/>
  <c r="AI156" i="26" s="1"/>
  <c r="AH156" i="26" a="1"/>
  <c r="AH156" i="26" s="1"/>
  <c r="AG156" i="26" a="1"/>
  <c r="AG156" i="26" s="1"/>
  <c r="AF156" i="26" a="1"/>
  <c r="AF156" i="26" s="1"/>
  <c r="BE155" i="26"/>
  <c r="BF155" i="26" s="1"/>
  <c r="AW155" i="26"/>
  <c r="AR155" i="26" a="1"/>
  <c r="AR155" i="26" s="1"/>
  <c r="AQ155" i="26" a="1"/>
  <c r="AQ155" i="26" s="1"/>
  <c r="AP155" i="26" a="1"/>
  <c r="AP155" i="26" s="1"/>
  <c r="AO155" i="26" a="1"/>
  <c r="AO155" i="26" s="1"/>
  <c r="AN155" i="26" a="1"/>
  <c r="AN155" i="26" s="1"/>
  <c r="AM155" i="26" a="1"/>
  <c r="AM155" i="26" s="1"/>
  <c r="AL155" i="26" a="1"/>
  <c r="AL155" i="26" s="1"/>
  <c r="AK155" i="26" a="1"/>
  <c r="AK155" i="26" s="1"/>
  <c r="AJ155" i="26" a="1"/>
  <c r="AJ155" i="26" s="1"/>
  <c r="AI155" i="26" a="1"/>
  <c r="AI155" i="26" s="1"/>
  <c r="AH155" i="26" a="1"/>
  <c r="AH155" i="26" s="1"/>
  <c r="AG155" i="26" a="1"/>
  <c r="AG155" i="26" s="1"/>
  <c r="AF155" i="26" a="1"/>
  <c r="AF155" i="26" s="1"/>
  <c r="BE154" i="26"/>
  <c r="BF154" i="26" s="1"/>
  <c r="AW154" i="26"/>
  <c r="AR154" i="26" a="1"/>
  <c r="AR154" i="26" s="1"/>
  <c r="AQ154" i="26" a="1"/>
  <c r="AQ154" i="26" s="1"/>
  <c r="AP154" i="26" a="1"/>
  <c r="AP154" i="26" s="1"/>
  <c r="AO154" i="26" a="1"/>
  <c r="AO154" i="26" s="1"/>
  <c r="AN154" i="26" a="1"/>
  <c r="AN154" i="26" s="1"/>
  <c r="AM154" i="26" a="1"/>
  <c r="AM154" i="26" s="1"/>
  <c r="AL154" i="26" a="1"/>
  <c r="AL154" i="26" s="1"/>
  <c r="AK154" i="26" a="1"/>
  <c r="AK154" i="26" s="1"/>
  <c r="AJ154" i="26" a="1"/>
  <c r="AJ154" i="26" s="1"/>
  <c r="AI154" i="26" a="1"/>
  <c r="AI154" i="26" s="1"/>
  <c r="AH154" i="26" a="1"/>
  <c r="AH154" i="26" s="1"/>
  <c r="AG154" i="26" a="1"/>
  <c r="AG154" i="26" s="1"/>
  <c r="AF154" i="26" a="1"/>
  <c r="AF154" i="26" s="1"/>
  <c r="BE153" i="26"/>
  <c r="AW153" i="26"/>
  <c r="AR153" i="26" a="1"/>
  <c r="AR153" i="26" s="1"/>
  <c r="AQ153" i="26" a="1"/>
  <c r="AQ153" i="26" s="1"/>
  <c r="AP153" i="26" a="1"/>
  <c r="AP153" i="26" s="1"/>
  <c r="AO153" i="26" a="1"/>
  <c r="AO153" i="26" s="1"/>
  <c r="AN153" i="26" a="1"/>
  <c r="AN153" i="26" s="1"/>
  <c r="AM153" i="26" a="1"/>
  <c r="AM153" i="26" s="1"/>
  <c r="AL153" i="26" a="1"/>
  <c r="AL153" i="26" s="1"/>
  <c r="AK153" i="26" a="1"/>
  <c r="AK153" i="26" s="1"/>
  <c r="AJ153" i="26" a="1"/>
  <c r="AJ153" i="26" s="1"/>
  <c r="AI153" i="26" a="1"/>
  <c r="AI153" i="26" s="1"/>
  <c r="AH153" i="26" a="1"/>
  <c r="AH153" i="26" s="1"/>
  <c r="AG153" i="26" a="1"/>
  <c r="AG153" i="26" s="1"/>
  <c r="AF153" i="26" a="1"/>
  <c r="AF153" i="26" s="1"/>
  <c r="BE152" i="26"/>
  <c r="BG152" i="26" s="1"/>
  <c r="BW152" i="26" s="1"/>
  <c r="AW152" i="26"/>
  <c r="AR152" i="26" a="1"/>
  <c r="AR152" i="26" s="1"/>
  <c r="AQ152" i="26" a="1"/>
  <c r="AQ152" i="26" s="1"/>
  <c r="AP152" i="26" a="1"/>
  <c r="AP152" i="26" s="1"/>
  <c r="AO152" i="26" a="1"/>
  <c r="AO152" i="26" s="1"/>
  <c r="AN152" i="26" a="1"/>
  <c r="AN152" i="26" s="1"/>
  <c r="AM152" i="26" a="1"/>
  <c r="AM152" i="26" s="1"/>
  <c r="AL152" i="26" a="1"/>
  <c r="AL152" i="26" s="1"/>
  <c r="AK152" i="26" a="1"/>
  <c r="AK152" i="26" s="1"/>
  <c r="AJ152" i="26" a="1"/>
  <c r="AJ152" i="26" s="1"/>
  <c r="AI152" i="26" a="1"/>
  <c r="AI152" i="26" s="1"/>
  <c r="AH152" i="26" a="1"/>
  <c r="AH152" i="26" s="1"/>
  <c r="AG152" i="26" a="1"/>
  <c r="AG152" i="26" s="1"/>
  <c r="AF152" i="26" a="1"/>
  <c r="AF152" i="26" s="1"/>
  <c r="BE151" i="26"/>
  <c r="BG151" i="26" s="1"/>
  <c r="BW151" i="26" s="1"/>
  <c r="AW151" i="26"/>
  <c r="AR151" i="26" a="1"/>
  <c r="AR151" i="26" s="1"/>
  <c r="AQ151" i="26" a="1"/>
  <c r="AQ151" i="26" s="1"/>
  <c r="AP151" i="26" a="1"/>
  <c r="AP151" i="26" s="1"/>
  <c r="AO151" i="26" a="1"/>
  <c r="AO151" i="26" s="1"/>
  <c r="AN151" i="26" a="1"/>
  <c r="AN151" i="26" s="1"/>
  <c r="AM151" i="26" a="1"/>
  <c r="AM151" i="26" s="1"/>
  <c r="AL151" i="26" a="1"/>
  <c r="AL151" i="26" s="1"/>
  <c r="AK151" i="26" a="1"/>
  <c r="AK151" i="26" s="1"/>
  <c r="AJ151" i="26" a="1"/>
  <c r="AJ151" i="26" s="1"/>
  <c r="AI151" i="26" a="1"/>
  <c r="AI151" i="26" s="1"/>
  <c r="AH151" i="26" a="1"/>
  <c r="AH151" i="26" s="1"/>
  <c r="AG151" i="26" a="1"/>
  <c r="AG151" i="26" s="1"/>
  <c r="AF151" i="26" a="1"/>
  <c r="AF151" i="26" s="1"/>
  <c r="BE150" i="26"/>
  <c r="AW150" i="26"/>
  <c r="AR150" i="26" a="1"/>
  <c r="AR150" i="26" s="1"/>
  <c r="AQ150" i="26" a="1"/>
  <c r="AQ150" i="26" s="1"/>
  <c r="AP150" i="26" a="1"/>
  <c r="AP150" i="26" s="1"/>
  <c r="AO150" i="26" a="1"/>
  <c r="AO150" i="26" s="1"/>
  <c r="AN150" i="26" a="1"/>
  <c r="AN150" i="26" s="1"/>
  <c r="AM150" i="26" a="1"/>
  <c r="AM150" i="26" s="1"/>
  <c r="AL150" i="26" a="1"/>
  <c r="AL150" i="26" s="1"/>
  <c r="AK150" i="26" a="1"/>
  <c r="AK150" i="26" s="1"/>
  <c r="AJ150" i="26" a="1"/>
  <c r="AJ150" i="26" s="1"/>
  <c r="AI150" i="26" a="1"/>
  <c r="AI150" i="26" s="1"/>
  <c r="AH150" i="26" a="1"/>
  <c r="AH150" i="26" s="1"/>
  <c r="AG150" i="26" a="1"/>
  <c r="AG150" i="26" s="1"/>
  <c r="AF150" i="26" a="1"/>
  <c r="AF150" i="26" s="1"/>
  <c r="BE149" i="26"/>
  <c r="BF149" i="26" s="1"/>
  <c r="AW149" i="26"/>
  <c r="AR149" i="26" a="1"/>
  <c r="AR149" i="26" s="1"/>
  <c r="AQ149" i="26" a="1"/>
  <c r="AQ149" i="26" s="1"/>
  <c r="AP149" i="26" a="1"/>
  <c r="AP149" i="26" s="1"/>
  <c r="AO149" i="26" a="1"/>
  <c r="AO149" i="26" s="1"/>
  <c r="AN149" i="26" a="1"/>
  <c r="AN149" i="26" s="1"/>
  <c r="AM149" i="26" a="1"/>
  <c r="AM149" i="26" s="1"/>
  <c r="AL149" i="26" a="1"/>
  <c r="AL149" i="26" s="1"/>
  <c r="AK149" i="26" a="1"/>
  <c r="AK149" i="26" s="1"/>
  <c r="AJ149" i="26" a="1"/>
  <c r="AJ149" i="26" s="1"/>
  <c r="AI149" i="26" a="1"/>
  <c r="AI149" i="26" s="1"/>
  <c r="AH149" i="26" a="1"/>
  <c r="AH149" i="26" s="1"/>
  <c r="AG149" i="26" a="1"/>
  <c r="AG149" i="26" s="1"/>
  <c r="AF149" i="26" a="1"/>
  <c r="AF149" i="26" s="1"/>
  <c r="BE148" i="26"/>
  <c r="BF148" i="26" s="1"/>
  <c r="AW148" i="26"/>
  <c r="AR148" i="26" a="1"/>
  <c r="AR148" i="26" s="1"/>
  <c r="AQ148" i="26" a="1"/>
  <c r="AQ148" i="26" s="1"/>
  <c r="AP148" i="26" a="1"/>
  <c r="AP148" i="26" s="1"/>
  <c r="AO148" i="26" a="1"/>
  <c r="AO148" i="26" s="1"/>
  <c r="AN148" i="26" a="1"/>
  <c r="AN148" i="26" s="1"/>
  <c r="AM148" i="26" a="1"/>
  <c r="AM148" i="26" s="1"/>
  <c r="AL148" i="26" a="1"/>
  <c r="AL148" i="26" s="1"/>
  <c r="AK148" i="26" a="1"/>
  <c r="AK148" i="26" s="1"/>
  <c r="AJ148" i="26" a="1"/>
  <c r="AJ148" i="26" s="1"/>
  <c r="AI148" i="26" a="1"/>
  <c r="AI148" i="26" s="1"/>
  <c r="AH148" i="26" a="1"/>
  <c r="AH148" i="26" s="1"/>
  <c r="AG148" i="26" a="1"/>
  <c r="AG148" i="26" s="1"/>
  <c r="AF148" i="26" a="1"/>
  <c r="AF148" i="26" s="1"/>
  <c r="BE147" i="26"/>
  <c r="BG147" i="26" s="1"/>
  <c r="BW147" i="26" s="1"/>
  <c r="AR147" i="26" a="1"/>
  <c r="AR147" i="26" s="1"/>
  <c r="AQ147" i="26" a="1"/>
  <c r="AQ147" i="26" s="1"/>
  <c r="AP147" i="26" a="1"/>
  <c r="AP147" i="26" s="1"/>
  <c r="AO147" i="26" a="1"/>
  <c r="AO147" i="26" s="1"/>
  <c r="AN147" i="26" a="1"/>
  <c r="AN147" i="26" s="1"/>
  <c r="AM147" i="26" a="1"/>
  <c r="AM147" i="26" s="1"/>
  <c r="AL147" i="26" a="1"/>
  <c r="AL147" i="26" s="1"/>
  <c r="AK147" i="26" a="1"/>
  <c r="AK147" i="26" s="1"/>
  <c r="AJ147" i="26" a="1"/>
  <c r="AJ147" i="26" s="1"/>
  <c r="AI147" i="26" a="1"/>
  <c r="AI147" i="26" s="1"/>
  <c r="AH147" i="26" a="1"/>
  <c r="AH147" i="26" s="1"/>
  <c r="AG147" i="26" a="1"/>
  <c r="AG147" i="26" s="1"/>
  <c r="AF147" i="26" a="1"/>
  <c r="AF147" i="26" s="1"/>
  <c r="BE146" i="26"/>
  <c r="AW146" i="26"/>
  <c r="AR146" i="26" a="1"/>
  <c r="AR146" i="26" s="1"/>
  <c r="AQ146" i="26" a="1"/>
  <c r="AQ146" i="26" s="1"/>
  <c r="AP146" i="26" a="1"/>
  <c r="AP146" i="26" s="1"/>
  <c r="AO146" i="26" a="1"/>
  <c r="AO146" i="26" s="1"/>
  <c r="AN146" i="26" a="1"/>
  <c r="AN146" i="26" s="1"/>
  <c r="AM146" i="26" a="1"/>
  <c r="AM146" i="26" s="1"/>
  <c r="AL146" i="26" a="1"/>
  <c r="AL146" i="26" s="1"/>
  <c r="AK146" i="26" a="1"/>
  <c r="AK146" i="26" s="1"/>
  <c r="AJ146" i="26" a="1"/>
  <c r="AJ146" i="26" s="1"/>
  <c r="AI146" i="26" a="1"/>
  <c r="AI146" i="26" s="1"/>
  <c r="AH146" i="26" a="1"/>
  <c r="AH146" i="26" s="1"/>
  <c r="AG146" i="26" a="1"/>
  <c r="AG146" i="26" s="1"/>
  <c r="AF146" i="26" a="1"/>
  <c r="AF146" i="26" s="1"/>
  <c r="BE145" i="26"/>
  <c r="BG145" i="26" s="1"/>
  <c r="BW145" i="26" s="1"/>
  <c r="AW145" i="26"/>
  <c r="AR145" i="26" a="1"/>
  <c r="AR145" i="26" s="1"/>
  <c r="AQ145" i="26" a="1"/>
  <c r="AQ145" i="26" s="1"/>
  <c r="AP145" i="26" a="1"/>
  <c r="AP145" i="26" s="1"/>
  <c r="AO145" i="26" a="1"/>
  <c r="AO145" i="26" s="1"/>
  <c r="AN145" i="26" a="1"/>
  <c r="AN145" i="26" s="1"/>
  <c r="AM145" i="26" a="1"/>
  <c r="AM145" i="26" s="1"/>
  <c r="AL145" i="26" a="1"/>
  <c r="AL145" i="26" s="1"/>
  <c r="AK145" i="26" a="1"/>
  <c r="AK145" i="26" s="1"/>
  <c r="AJ145" i="26" a="1"/>
  <c r="AJ145" i="26" s="1"/>
  <c r="AI145" i="26" a="1"/>
  <c r="AI145" i="26" s="1"/>
  <c r="AH145" i="26" a="1"/>
  <c r="AH145" i="26" s="1"/>
  <c r="AG145" i="26" a="1"/>
  <c r="AG145" i="26" s="1"/>
  <c r="AF145" i="26" a="1"/>
  <c r="AF145" i="26" s="1"/>
  <c r="BE144" i="26"/>
  <c r="AW144" i="26"/>
  <c r="AR144" i="26" a="1"/>
  <c r="AR144" i="26" s="1"/>
  <c r="AQ144" i="26" a="1"/>
  <c r="AQ144" i="26" s="1"/>
  <c r="AP144" i="26" a="1"/>
  <c r="AP144" i="26" s="1"/>
  <c r="AO144" i="26" a="1"/>
  <c r="AO144" i="26" s="1"/>
  <c r="AN144" i="26" a="1"/>
  <c r="AN144" i="26" s="1"/>
  <c r="AM144" i="26" a="1"/>
  <c r="AM144" i="26" s="1"/>
  <c r="AL144" i="26" a="1"/>
  <c r="AL144" i="26" s="1"/>
  <c r="AK144" i="26" a="1"/>
  <c r="AK144" i="26" s="1"/>
  <c r="AJ144" i="26" a="1"/>
  <c r="AJ144" i="26" s="1"/>
  <c r="AI144" i="26" a="1"/>
  <c r="AI144" i="26" s="1"/>
  <c r="AH144" i="26" a="1"/>
  <c r="AH144" i="26" s="1"/>
  <c r="AG144" i="26" a="1"/>
  <c r="AG144" i="26" s="1"/>
  <c r="AF144" i="26" a="1"/>
  <c r="AF144" i="26" s="1"/>
  <c r="BE143" i="26"/>
  <c r="BF143" i="26" s="1"/>
  <c r="AW143" i="26"/>
  <c r="AR143" i="26" a="1"/>
  <c r="AR143" i="26" s="1"/>
  <c r="AQ143" i="26" a="1"/>
  <c r="AQ143" i="26" s="1"/>
  <c r="AP143" i="26" a="1"/>
  <c r="AP143" i="26" s="1"/>
  <c r="AO143" i="26" a="1"/>
  <c r="AO143" i="26" s="1"/>
  <c r="AN143" i="26" a="1"/>
  <c r="AN143" i="26" s="1"/>
  <c r="AM143" i="26" a="1"/>
  <c r="AM143" i="26" s="1"/>
  <c r="AL143" i="26" a="1"/>
  <c r="AL143" i="26" s="1"/>
  <c r="AK143" i="26" a="1"/>
  <c r="AK143" i="26" s="1"/>
  <c r="AJ143" i="26" a="1"/>
  <c r="AJ143" i="26" s="1"/>
  <c r="AI143" i="26" a="1"/>
  <c r="AI143" i="26" s="1"/>
  <c r="AH143" i="26" a="1"/>
  <c r="AH143" i="26" s="1"/>
  <c r="AG143" i="26" a="1"/>
  <c r="AG143" i="26" s="1"/>
  <c r="AF143" i="26" a="1"/>
  <c r="AF143" i="26" s="1"/>
  <c r="BE142" i="26"/>
  <c r="BF142" i="26" s="1"/>
  <c r="AW142" i="26"/>
  <c r="AR142" i="26" a="1"/>
  <c r="AR142" i="26" s="1"/>
  <c r="AQ142" i="26" a="1"/>
  <c r="AQ142" i="26" s="1"/>
  <c r="AP142" i="26" a="1"/>
  <c r="AP142" i="26" s="1"/>
  <c r="AO142" i="26" a="1"/>
  <c r="AO142" i="26" s="1"/>
  <c r="AN142" i="26" a="1"/>
  <c r="AN142" i="26" s="1"/>
  <c r="AM142" i="26" a="1"/>
  <c r="AM142" i="26" s="1"/>
  <c r="AL142" i="26" a="1"/>
  <c r="AL142" i="26" s="1"/>
  <c r="AK142" i="26" a="1"/>
  <c r="AK142" i="26" s="1"/>
  <c r="AJ142" i="26" a="1"/>
  <c r="AJ142" i="26" s="1"/>
  <c r="AI142" i="26" a="1"/>
  <c r="AI142" i="26" s="1"/>
  <c r="AH142" i="26" a="1"/>
  <c r="AH142" i="26" s="1"/>
  <c r="AG142" i="26" a="1"/>
  <c r="AG142" i="26" s="1"/>
  <c r="AF142" i="26" a="1"/>
  <c r="AF142" i="26" s="1"/>
  <c r="BE141" i="26"/>
  <c r="BG141" i="26" s="1"/>
  <c r="BW141" i="26" s="1"/>
  <c r="AW141" i="26"/>
  <c r="AR141" i="26" a="1"/>
  <c r="AR141" i="26" s="1"/>
  <c r="AQ141" i="26" a="1"/>
  <c r="AQ141" i="26" s="1"/>
  <c r="AP141" i="26" a="1"/>
  <c r="AP141" i="26" s="1"/>
  <c r="AO141" i="26" a="1"/>
  <c r="AO141" i="26" s="1"/>
  <c r="AN141" i="26" a="1"/>
  <c r="AN141" i="26" s="1"/>
  <c r="AM141" i="26" a="1"/>
  <c r="AM141" i="26" s="1"/>
  <c r="AL141" i="26" a="1"/>
  <c r="AL141" i="26" s="1"/>
  <c r="AK141" i="26" a="1"/>
  <c r="AK141" i="26" s="1"/>
  <c r="AJ141" i="26" a="1"/>
  <c r="AJ141" i="26" s="1"/>
  <c r="AI141" i="26" a="1"/>
  <c r="AI141" i="26" s="1"/>
  <c r="AH141" i="26" a="1"/>
  <c r="AH141" i="26" s="1"/>
  <c r="AG141" i="26" a="1"/>
  <c r="AG141" i="26" s="1"/>
  <c r="AF141" i="26" a="1"/>
  <c r="AF141" i="26" s="1"/>
  <c r="BE140" i="26"/>
  <c r="BG140" i="26" s="1"/>
  <c r="BW140" i="26" s="1"/>
  <c r="AW140" i="26"/>
  <c r="AR140" i="26" a="1"/>
  <c r="AR140" i="26" s="1"/>
  <c r="AQ140" i="26" a="1"/>
  <c r="AQ140" i="26" s="1"/>
  <c r="AP140" i="26" a="1"/>
  <c r="AP140" i="26" s="1"/>
  <c r="AO140" i="26" a="1"/>
  <c r="AO140" i="26" s="1"/>
  <c r="AN140" i="26" a="1"/>
  <c r="AN140" i="26" s="1"/>
  <c r="AM140" i="26" a="1"/>
  <c r="AM140" i="26" s="1"/>
  <c r="AL140" i="26" a="1"/>
  <c r="AL140" i="26" s="1"/>
  <c r="AK140" i="26" a="1"/>
  <c r="AK140" i="26" s="1"/>
  <c r="AJ140" i="26" a="1"/>
  <c r="AJ140" i="26" s="1"/>
  <c r="AI140" i="26" a="1"/>
  <c r="AI140" i="26" s="1"/>
  <c r="AH140" i="26" a="1"/>
  <c r="AH140" i="26" s="1"/>
  <c r="AG140" i="26" a="1"/>
  <c r="AG140" i="26" s="1"/>
  <c r="AF140" i="26" a="1"/>
  <c r="AF140" i="26" s="1"/>
  <c r="BE139" i="26"/>
  <c r="BF139" i="26" s="1"/>
  <c r="AW139" i="26"/>
  <c r="AR139" i="26" a="1"/>
  <c r="AR139" i="26" s="1"/>
  <c r="AQ139" i="26" a="1"/>
  <c r="AQ139" i="26" s="1"/>
  <c r="AP139" i="26" a="1"/>
  <c r="AP139" i="26" s="1"/>
  <c r="AO139" i="26" a="1"/>
  <c r="AO139" i="26" s="1"/>
  <c r="AN139" i="26" a="1"/>
  <c r="AN139" i="26" s="1"/>
  <c r="AM139" i="26" a="1"/>
  <c r="AM139" i="26" s="1"/>
  <c r="AL139" i="26" a="1"/>
  <c r="AL139" i="26" s="1"/>
  <c r="AK139" i="26" a="1"/>
  <c r="AK139" i="26" s="1"/>
  <c r="AJ139" i="26" a="1"/>
  <c r="AJ139" i="26" s="1"/>
  <c r="AI139" i="26" a="1"/>
  <c r="AI139" i="26" s="1"/>
  <c r="AH139" i="26" a="1"/>
  <c r="AH139" i="26" s="1"/>
  <c r="AG139" i="26" a="1"/>
  <c r="AG139" i="26" s="1"/>
  <c r="AF139" i="26" a="1"/>
  <c r="AF139" i="26" s="1"/>
  <c r="BE138" i="26"/>
  <c r="AW138" i="26"/>
  <c r="AR138" i="26" a="1"/>
  <c r="AR138" i="26" s="1"/>
  <c r="AQ138" i="26" a="1"/>
  <c r="AQ138" i="26" s="1"/>
  <c r="AP138" i="26" a="1"/>
  <c r="AP138" i="26" s="1"/>
  <c r="AO138" i="26" a="1"/>
  <c r="AO138" i="26" s="1"/>
  <c r="AN138" i="26" a="1"/>
  <c r="AN138" i="26" s="1"/>
  <c r="AM138" i="26" a="1"/>
  <c r="AM138" i="26" s="1"/>
  <c r="AL138" i="26" a="1"/>
  <c r="AL138" i="26" s="1"/>
  <c r="AK138" i="26" a="1"/>
  <c r="AK138" i="26" s="1"/>
  <c r="AJ138" i="26" a="1"/>
  <c r="AJ138" i="26" s="1"/>
  <c r="AI138" i="26" a="1"/>
  <c r="AI138" i="26" s="1"/>
  <c r="AH138" i="26" a="1"/>
  <c r="AH138" i="26" s="1"/>
  <c r="AG138" i="26" a="1"/>
  <c r="AG138" i="26" s="1"/>
  <c r="AF138" i="26" a="1"/>
  <c r="AF138" i="26" s="1"/>
  <c r="AB138" i="26"/>
  <c r="BE137" i="26"/>
  <c r="BG137" i="26" s="1"/>
  <c r="BW137" i="26" s="1"/>
  <c r="AW137" i="26"/>
  <c r="AR137" i="26" a="1"/>
  <c r="AR137" i="26" s="1"/>
  <c r="AQ137" i="26" a="1"/>
  <c r="AQ137" i="26" s="1"/>
  <c r="AP137" i="26" a="1"/>
  <c r="AP137" i="26" s="1"/>
  <c r="AO137" i="26" a="1"/>
  <c r="AO137" i="26" s="1"/>
  <c r="AN137" i="26" a="1"/>
  <c r="AN137" i="26" s="1"/>
  <c r="AM137" i="26" a="1"/>
  <c r="AM137" i="26" s="1"/>
  <c r="AL137" i="26" a="1"/>
  <c r="AL137" i="26" s="1"/>
  <c r="AK137" i="26" a="1"/>
  <c r="AK137" i="26" s="1"/>
  <c r="AJ137" i="26" a="1"/>
  <c r="AJ137" i="26" s="1"/>
  <c r="AI137" i="26" a="1"/>
  <c r="AI137" i="26" s="1"/>
  <c r="AH137" i="26" a="1"/>
  <c r="AH137" i="26" s="1"/>
  <c r="AG137" i="26" a="1"/>
  <c r="AG137" i="26" s="1"/>
  <c r="AF137" i="26" a="1"/>
  <c r="AF137" i="26" s="1"/>
  <c r="BE136" i="26"/>
  <c r="BF136" i="26" s="1"/>
  <c r="AW136" i="26"/>
  <c r="AR136" i="26" a="1"/>
  <c r="AR136" i="26" s="1"/>
  <c r="AQ136" i="26" a="1"/>
  <c r="AQ136" i="26" s="1"/>
  <c r="AP136" i="26" a="1"/>
  <c r="AP136" i="26" s="1"/>
  <c r="AO136" i="26" a="1"/>
  <c r="AO136" i="26" s="1"/>
  <c r="AN136" i="26" a="1"/>
  <c r="AN136" i="26" s="1"/>
  <c r="AM136" i="26" a="1"/>
  <c r="AM136" i="26" s="1"/>
  <c r="AL136" i="26" a="1"/>
  <c r="AL136" i="26" s="1"/>
  <c r="AK136" i="26" a="1"/>
  <c r="AK136" i="26" s="1"/>
  <c r="AJ136" i="26" a="1"/>
  <c r="AJ136" i="26" s="1"/>
  <c r="AI136" i="26" a="1"/>
  <c r="AI136" i="26" s="1"/>
  <c r="AH136" i="26" a="1"/>
  <c r="AH136" i="26" s="1"/>
  <c r="AG136" i="26" a="1"/>
  <c r="AG136" i="26" s="1"/>
  <c r="AF136" i="26" a="1"/>
  <c r="AF136" i="26" s="1"/>
  <c r="BE135" i="26"/>
  <c r="BG135" i="26" s="1"/>
  <c r="BW135" i="26" s="1"/>
  <c r="AW135" i="26"/>
  <c r="AR135" i="26" a="1"/>
  <c r="AR135" i="26" s="1"/>
  <c r="AQ135" i="26" a="1"/>
  <c r="AQ135" i="26" s="1"/>
  <c r="AP135" i="26" a="1"/>
  <c r="AP135" i="26" s="1"/>
  <c r="AO135" i="26" a="1"/>
  <c r="AO135" i="26" s="1"/>
  <c r="AN135" i="26" a="1"/>
  <c r="AN135" i="26" s="1"/>
  <c r="AM135" i="26" a="1"/>
  <c r="AM135" i="26" s="1"/>
  <c r="AL135" i="26" a="1"/>
  <c r="AL135" i="26" s="1"/>
  <c r="AK135" i="26" a="1"/>
  <c r="AK135" i="26" s="1"/>
  <c r="AJ135" i="26" a="1"/>
  <c r="AJ135" i="26" s="1"/>
  <c r="AI135" i="26" a="1"/>
  <c r="AI135" i="26" s="1"/>
  <c r="AH135" i="26" a="1"/>
  <c r="AH135" i="26" s="1"/>
  <c r="AG135" i="26" a="1"/>
  <c r="AG135" i="26" s="1"/>
  <c r="AF135" i="26" a="1"/>
  <c r="AF135" i="26" s="1"/>
  <c r="BE134" i="26"/>
  <c r="AW134" i="26"/>
  <c r="AR134" i="26" a="1"/>
  <c r="AR134" i="26" s="1"/>
  <c r="AQ134" i="26" a="1"/>
  <c r="AQ134" i="26" s="1"/>
  <c r="AP134" i="26" a="1"/>
  <c r="AP134" i="26" s="1"/>
  <c r="AO134" i="26" a="1"/>
  <c r="AO134" i="26" s="1"/>
  <c r="AN134" i="26" a="1"/>
  <c r="AN134" i="26" s="1"/>
  <c r="AM134" i="26" a="1"/>
  <c r="AM134" i="26" s="1"/>
  <c r="AL134" i="26" a="1"/>
  <c r="AL134" i="26" s="1"/>
  <c r="AK134" i="26" a="1"/>
  <c r="AK134" i="26" s="1"/>
  <c r="AJ134" i="26" a="1"/>
  <c r="AJ134" i="26" s="1"/>
  <c r="AI134" i="26" a="1"/>
  <c r="AI134" i="26" s="1"/>
  <c r="AH134" i="26" a="1"/>
  <c r="AH134" i="26" s="1"/>
  <c r="AG134" i="26" a="1"/>
  <c r="AG134" i="26" s="1"/>
  <c r="AF134" i="26" a="1"/>
  <c r="AF134" i="26" s="1"/>
  <c r="BE133" i="26"/>
  <c r="BF133" i="26" s="1"/>
  <c r="AW133" i="26"/>
  <c r="AR133" i="26" a="1"/>
  <c r="AR133" i="26" s="1"/>
  <c r="AQ133" i="26" a="1"/>
  <c r="AQ133" i="26" s="1"/>
  <c r="AP133" i="26" a="1"/>
  <c r="AP133" i="26" s="1"/>
  <c r="AO133" i="26" a="1"/>
  <c r="AO133" i="26" s="1"/>
  <c r="AN133" i="26" a="1"/>
  <c r="AN133" i="26" s="1"/>
  <c r="AM133" i="26" a="1"/>
  <c r="AM133" i="26" s="1"/>
  <c r="AL133" i="26" a="1"/>
  <c r="AL133" i="26" s="1"/>
  <c r="AK133" i="26" a="1"/>
  <c r="AK133" i="26" s="1"/>
  <c r="AJ133" i="26" a="1"/>
  <c r="AJ133" i="26" s="1"/>
  <c r="AI133" i="26" a="1"/>
  <c r="AI133" i="26" s="1"/>
  <c r="AH133" i="26" a="1"/>
  <c r="AH133" i="26" s="1"/>
  <c r="AG133" i="26" a="1"/>
  <c r="AG133" i="26" s="1"/>
  <c r="AF133" i="26" a="1"/>
  <c r="AF133" i="26" s="1"/>
  <c r="BE132" i="26"/>
  <c r="BG132" i="26" s="1"/>
  <c r="BW132" i="26" s="1"/>
  <c r="AW132" i="26"/>
  <c r="AR132" i="26" a="1"/>
  <c r="AR132" i="26" s="1"/>
  <c r="AQ132" i="26" a="1"/>
  <c r="AQ132" i="26" s="1"/>
  <c r="AP132" i="26" a="1"/>
  <c r="AP132" i="26" s="1"/>
  <c r="AO132" i="26" a="1"/>
  <c r="AO132" i="26" s="1"/>
  <c r="AN132" i="26" a="1"/>
  <c r="AN132" i="26" s="1"/>
  <c r="AM132" i="26" a="1"/>
  <c r="AM132" i="26" s="1"/>
  <c r="AL132" i="26" a="1"/>
  <c r="AL132" i="26" s="1"/>
  <c r="AK132" i="26" a="1"/>
  <c r="AK132" i="26" s="1"/>
  <c r="AJ132" i="26" a="1"/>
  <c r="AJ132" i="26" s="1"/>
  <c r="AI132" i="26" a="1"/>
  <c r="AI132" i="26" s="1"/>
  <c r="AH132" i="26" a="1"/>
  <c r="AH132" i="26" s="1"/>
  <c r="AG132" i="26" a="1"/>
  <c r="AG132" i="26" s="1"/>
  <c r="AF132" i="26" a="1"/>
  <c r="AF132" i="26" s="1"/>
  <c r="BE131" i="26"/>
  <c r="BG131" i="26" s="1"/>
  <c r="BW131" i="26" s="1"/>
  <c r="AW131" i="26"/>
  <c r="AR131" i="26" a="1"/>
  <c r="AR131" i="26" s="1"/>
  <c r="AQ131" i="26" a="1"/>
  <c r="AQ131" i="26" s="1"/>
  <c r="AP131" i="26" a="1"/>
  <c r="AP131" i="26" s="1"/>
  <c r="AO131" i="26" a="1"/>
  <c r="AO131" i="26" s="1"/>
  <c r="AN131" i="26" a="1"/>
  <c r="AN131" i="26" s="1"/>
  <c r="AM131" i="26" a="1"/>
  <c r="AM131" i="26" s="1"/>
  <c r="AL131" i="26" a="1"/>
  <c r="AL131" i="26" s="1"/>
  <c r="AK131" i="26" a="1"/>
  <c r="AK131" i="26" s="1"/>
  <c r="AJ131" i="26" a="1"/>
  <c r="AJ131" i="26" s="1"/>
  <c r="AI131" i="26" a="1"/>
  <c r="AI131" i="26" s="1"/>
  <c r="AH131" i="26" a="1"/>
  <c r="AH131" i="26" s="1"/>
  <c r="AG131" i="26" a="1"/>
  <c r="AG131" i="26" s="1"/>
  <c r="AF131" i="26" a="1"/>
  <c r="AF131" i="26" s="1"/>
  <c r="AB131" i="26"/>
  <c r="BE130" i="26"/>
  <c r="BF130" i="26" s="1"/>
  <c r="AW130" i="26"/>
  <c r="AR130" i="26" a="1"/>
  <c r="AR130" i="26" s="1"/>
  <c r="AQ130" i="26" a="1"/>
  <c r="AQ130" i="26" s="1"/>
  <c r="AP130" i="26" a="1"/>
  <c r="AP130" i="26" s="1"/>
  <c r="AO130" i="26" a="1"/>
  <c r="AO130" i="26" s="1"/>
  <c r="AN130" i="26" a="1"/>
  <c r="AN130" i="26" s="1"/>
  <c r="AM130" i="26" a="1"/>
  <c r="AM130" i="26" s="1"/>
  <c r="AL130" i="26" a="1"/>
  <c r="AL130" i="26" s="1"/>
  <c r="AK130" i="26" a="1"/>
  <c r="AK130" i="26" s="1"/>
  <c r="AJ130" i="26" a="1"/>
  <c r="AJ130" i="26" s="1"/>
  <c r="AI130" i="26" a="1"/>
  <c r="AI130" i="26" s="1"/>
  <c r="AH130" i="26" a="1"/>
  <c r="AH130" i="26" s="1"/>
  <c r="AG130" i="26" a="1"/>
  <c r="AG130" i="26" s="1"/>
  <c r="AF130" i="26" a="1"/>
  <c r="AF130" i="26" s="1"/>
  <c r="BE129" i="26"/>
  <c r="BG129" i="26" s="1"/>
  <c r="BW129" i="26" s="1"/>
  <c r="AW129" i="26"/>
  <c r="AR129" i="26" a="1"/>
  <c r="AR129" i="26" s="1"/>
  <c r="AQ129" i="26" a="1"/>
  <c r="AQ129" i="26" s="1"/>
  <c r="AP129" i="26" a="1"/>
  <c r="AP129" i="26" s="1"/>
  <c r="AO129" i="26" a="1"/>
  <c r="AO129" i="26" s="1"/>
  <c r="AN129" i="26" a="1"/>
  <c r="AN129" i="26" s="1"/>
  <c r="AM129" i="26" a="1"/>
  <c r="AM129" i="26" s="1"/>
  <c r="AL129" i="26" a="1"/>
  <c r="AL129" i="26" s="1"/>
  <c r="AK129" i="26" a="1"/>
  <c r="AK129" i="26" s="1"/>
  <c r="AJ129" i="26" a="1"/>
  <c r="AJ129" i="26" s="1"/>
  <c r="AI129" i="26" a="1"/>
  <c r="AI129" i="26" s="1"/>
  <c r="AH129" i="26" a="1"/>
  <c r="AH129" i="26" s="1"/>
  <c r="AG129" i="26" a="1"/>
  <c r="AG129" i="26" s="1"/>
  <c r="AF129" i="26" a="1"/>
  <c r="AF129" i="26" s="1"/>
  <c r="BE128" i="26"/>
  <c r="AW128" i="26"/>
  <c r="AR128" i="26" a="1"/>
  <c r="AR128" i="26" s="1"/>
  <c r="AQ128" i="26" a="1"/>
  <c r="AQ128" i="26" s="1"/>
  <c r="AP128" i="26" a="1"/>
  <c r="AP128" i="26" s="1"/>
  <c r="AO128" i="26" a="1"/>
  <c r="AO128" i="26" s="1"/>
  <c r="AN128" i="26" a="1"/>
  <c r="AN128" i="26" s="1"/>
  <c r="AM128" i="26" a="1"/>
  <c r="AM128" i="26" s="1"/>
  <c r="AL128" i="26" a="1"/>
  <c r="AL128" i="26" s="1"/>
  <c r="AK128" i="26" a="1"/>
  <c r="AK128" i="26" s="1"/>
  <c r="AJ128" i="26" a="1"/>
  <c r="AJ128" i="26" s="1"/>
  <c r="AI128" i="26" a="1"/>
  <c r="AI128" i="26" s="1"/>
  <c r="AH128" i="26" a="1"/>
  <c r="AH128" i="26" s="1"/>
  <c r="AG128" i="26" a="1"/>
  <c r="AG128" i="26" s="1"/>
  <c r="AF128" i="26" a="1"/>
  <c r="AF128" i="26" s="1"/>
  <c r="BE127" i="26"/>
  <c r="BF127" i="26" s="1"/>
  <c r="AW127" i="26"/>
  <c r="AR127" i="26" a="1"/>
  <c r="AR127" i="26" s="1"/>
  <c r="AQ127" i="26" a="1"/>
  <c r="AQ127" i="26" s="1"/>
  <c r="AP127" i="26" a="1"/>
  <c r="AP127" i="26" s="1"/>
  <c r="AO127" i="26" a="1"/>
  <c r="AO127" i="26" s="1"/>
  <c r="AN127" i="26" a="1"/>
  <c r="AN127" i="26" s="1"/>
  <c r="AM127" i="26" a="1"/>
  <c r="AM127" i="26" s="1"/>
  <c r="AL127" i="26" a="1"/>
  <c r="AL127" i="26" s="1"/>
  <c r="AK127" i="26" a="1"/>
  <c r="AK127" i="26" s="1"/>
  <c r="AJ127" i="26" a="1"/>
  <c r="AJ127" i="26" s="1"/>
  <c r="AI127" i="26" a="1"/>
  <c r="AI127" i="26" s="1"/>
  <c r="AH127" i="26" a="1"/>
  <c r="AH127" i="26" s="1"/>
  <c r="AG127" i="26" a="1"/>
  <c r="AG127" i="26" s="1"/>
  <c r="AF127" i="26" a="1"/>
  <c r="AF127" i="26" s="1"/>
  <c r="BE126" i="26"/>
  <c r="AW126" i="26"/>
  <c r="AR126" i="26" a="1"/>
  <c r="AR126" i="26" s="1"/>
  <c r="AQ126" i="26" a="1"/>
  <c r="AQ126" i="26" s="1"/>
  <c r="AP126" i="26" a="1"/>
  <c r="AP126" i="26" s="1"/>
  <c r="AO126" i="26" a="1"/>
  <c r="AO126" i="26" s="1"/>
  <c r="AN126" i="26" a="1"/>
  <c r="AN126" i="26" s="1"/>
  <c r="AM126" i="26" a="1"/>
  <c r="AM126" i="26" s="1"/>
  <c r="AL126" i="26" a="1"/>
  <c r="AL126" i="26" s="1"/>
  <c r="AK126" i="26" a="1"/>
  <c r="AK126" i="26" s="1"/>
  <c r="AJ126" i="26" a="1"/>
  <c r="AJ126" i="26" s="1"/>
  <c r="AI126" i="26" a="1"/>
  <c r="AI126" i="26" s="1"/>
  <c r="AH126" i="26" a="1"/>
  <c r="AH126" i="26" s="1"/>
  <c r="AG126" i="26" a="1"/>
  <c r="AG126" i="26" s="1"/>
  <c r="AF126" i="26" a="1"/>
  <c r="AF126" i="26" s="1"/>
  <c r="BE125" i="26"/>
  <c r="BF125" i="26" s="1"/>
  <c r="AW125" i="26"/>
  <c r="AR125" i="26" a="1"/>
  <c r="AR125" i="26" s="1"/>
  <c r="AQ125" i="26" a="1"/>
  <c r="AQ125" i="26" s="1"/>
  <c r="AP125" i="26" a="1"/>
  <c r="AP125" i="26" s="1"/>
  <c r="AO125" i="26" a="1"/>
  <c r="AO125" i="26" s="1"/>
  <c r="AN125" i="26" a="1"/>
  <c r="AN125" i="26" s="1"/>
  <c r="AM125" i="26" a="1"/>
  <c r="AM125" i="26" s="1"/>
  <c r="AL125" i="26" a="1"/>
  <c r="AL125" i="26" s="1"/>
  <c r="AK125" i="26" a="1"/>
  <c r="AK125" i="26" s="1"/>
  <c r="AJ125" i="26" a="1"/>
  <c r="AJ125" i="26" s="1"/>
  <c r="AI125" i="26" a="1"/>
  <c r="AI125" i="26" s="1"/>
  <c r="AH125" i="26" a="1"/>
  <c r="AH125" i="26" s="1"/>
  <c r="AG125" i="26" a="1"/>
  <c r="AG125" i="26" s="1"/>
  <c r="AF125" i="26" a="1"/>
  <c r="AF125" i="26" s="1"/>
  <c r="AB125" i="26"/>
  <c r="BE124" i="26"/>
  <c r="BG124" i="26" s="1"/>
  <c r="BW124" i="26" s="1"/>
  <c r="AW124" i="26"/>
  <c r="AR124" i="26" a="1"/>
  <c r="AR124" i="26" s="1"/>
  <c r="AQ124" i="26" a="1"/>
  <c r="AQ124" i="26" s="1"/>
  <c r="AP124" i="26" a="1"/>
  <c r="AP124" i="26" s="1"/>
  <c r="AO124" i="26" a="1"/>
  <c r="AO124" i="26" s="1"/>
  <c r="AN124" i="26" a="1"/>
  <c r="AN124" i="26" s="1"/>
  <c r="AM124" i="26" a="1"/>
  <c r="AM124" i="26" s="1"/>
  <c r="AL124" i="26" a="1"/>
  <c r="AL124" i="26" s="1"/>
  <c r="AK124" i="26" a="1"/>
  <c r="AK124" i="26" s="1"/>
  <c r="AJ124" i="26" a="1"/>
  <c r="AJ124" i="26" s="1"/>
  <c r="AI124" i="26" a="1"/>
  <c r="AI124" i="26" s="1"/>
  <c r="AH124" i="26" a="1"/>
  <c r="AH124" i="26" s="1"/>
  <c r="AG124" i="26" a="1"/>
  <c r="AG124" i="26" s="1"/>
  <c r="AF124" i="26" a="1"/>
  <c r="AF124" i="26" s="1"/>
  <c r="AB124" i="26"/>
  <c r="BE123" i="26"/>
  <c r="BG123" i="26" s="1"/>
  <c r="BW123" i="26" s="1"/>
  <c r="AW123" i="26"/>
  <c r="AR123" i="26" a="1"/>
  <c r="AR123" i="26" s="1"/>
  <c r="AQ123" i="26" a="1"/>
  <c r="AQ123" i="26" s="1"/>
  <c r="AP123" i="26" a="1"/>
  <c r="AP123" i="26" s="1"/>
  <c r="AO123" i="26" a="1"/>
  <c r="AO123" i="26" s="1"/>
  <c r="AN123" i="26" a="1"/>
  <c r="AN123" i="26" s="1"/>
  <c r="AM123" i="26" a="1"/>
  <c r="AM123" i="26" s="1"/>
  <c r="AL123" i="26" a="1"/>
  <c r="AL123" i="26" s="1"/>
  <c r="AK123" i="26" a="1"/>
  <c r="AK123" i="26" s="1"/>
  <c r="AJ123" i="26" a="1"/>
  <c r="AJ123" i="26" s="1"/>
  <c r="AI123" i="26" a="1"/>
  <c r="AI123" i="26" s="1"/>
  <c r="AH123" i="26" a="1"/>
  <c r="AH123" i="26" s="1"/>
  <c r="AG123" i="26" a="1"/>
  <c r="AG123" i="26" s="1"/>
  <c r="AF123" i="26" a="1"/>
  <c r="AF123" i="26" s="1"/>
  <c r="AB123" i="26"/>
  <c r="BE122" i="26"/>
  <c r="AR122" i="26" a="1"/>
  <c r="AR122" i="26" s="1"/>
  <c r="AQ122" i="26" a="1"/>
  <c r="AQ122" i="26" s="1"/>
  <c r="AP122" i="26" a="1"/>
  <c r="AP122" i="26" s="1"/>
  <c r="AO122" i="26" a="1"/>
  <c r="AO122" i="26" s="1"/>
  <c r="AN122" i="26" a="1"/>
  <c r="AN122" i="26" s="1"/>
  <c r="AM122" i="26" a="1"/>
  <c r="AM122" i="26" s="1"/>
  <c r="AL122" i="26" a="1"/>
  <c r="AL122" i="26" s="1"/>
  <c r="AK122" i="26" a="1"/>
  <c r="AK122" i="26" s="1"/>
  <c r="AJ122" i="26" a="1"/>
  <c r="AJ122" i="26" s="1"/>
  <c r="AI122" i="26" a="1"/>
  <c r="AI122" i="26" s="1"/>
  <c r="AH122" i="26" a="1"/>
  <c r="AH122" i="26" s="1"/>
  <c r="AG122" i="26" a="1"/>
  <c r="AG122" i="26" s="1"/>
  <c r="AF122" i="26" a="1"/>
  <c r="AF122" i="26" s="1"/>
  <c r="BE121" i="26"/>
  <c r="BG121" i="26" s="1"/>
  <c r="BW121" i="26" s="1"/>
  <c r="AW121" i="26"/>
  <c r="AR121" i="26" a="1"/>
  <c r="AR121" i="26" s="1"/>
  <c r="AQ121" i="26" a="1"/>
  <c r="AQ121" i="26" s="1"/>
  <c r="AP121" i="26" a="1"/>
  <c r="AP121" i="26" s="1"/>
  <c r="AO121" i="26" a="1"/>
  <c r="AO121" i="26" s="1"/>
  <c r="AN121" i="26" a="1"/>
  <c r="AN121" i="26" s="1"/>
  <c r="AM121" i="26" a="1"/>
  <c r="AM121" i="26" s="1"/>
  <c r="AL121" i="26" a="1"/>
  <c r="AL121" i="26" s="1"/>
  <c r="AK121" i="26" a="1"/>
  <c r="AK121" i="26" s="1"/>
  <c r="AJ121" i="26" a="1"/>
  <c r="AJ121" i="26" s="1"/>
  <c r="AI121" i="26" a="1"/>
  <c r="AI121" i="26" s="1"/>
  <c r="AH121" i="26" a="1"/>
  <c r="AH121" i="26" s="1"/>
  <c r="AG121" i="26" a="1"/>
  <c r="AG121" i="26" s="1"/>
  <c r="AF121" i="26" a="1"/>
  <c r="AF121" i="26" s="1"/>
  <c r="BE120" i="26"/>
  <c r="AW120" i="26"/>
  <c r="AR120" i="26" a="1"/>
  <c r="AR120" i="26" s="1"/>
  <c r="AQ120" i="26" a="1"/>
  <c r="AQ120" i="26" s="1"/>
  <c r="AP120" i="26" a="1"/>
  <c r="AP120" i="26" s="1"/>
  <c r="AO120" i="26" a="1"/>
  <c r="AO120" i="26" s="1"/>
  <c r="AN120" i="26" a="1"/>
  <c r="AN120" i="26" s="1"/>
  <c r="AM120" i="26" a="1"/>
  <c r="AM120" i="26" s="1"/>
  <c r="AL120" i="26" a="1"/>
  <c r="AL120" i="26" s="1"/>
  <c r="AK120" i="26" a="1"/>
  <c r="AK120" i="26" s="1"/>
  <c r="AJ120" i="26" a="1"/>
  <c r="AJ120" i="26" s="1"/>
  <c r="AI120" i="26" a="1"/>
  <c r="AI120" i="26" s="1"/>
  <c r="AH120" i="26" a="1"/>
  <c r="AH120" i="26" s="1"/>
  <c r="AG120" i="26" a="1"/>
  <c r="AG120" i="26" s="1"/>
  <c r="AF120" i="26" a="1"/>
  <c r="AF120" i="26" s="1"/>
  <c r="AB120" i="26"/>
  <c r="BE119" i="26"/>
  <c r="BG119" i="26" s="1"/>
  <c r="BW119" i="26" s="1"/>
  <c r="AW119" i="26"/>
  <c r="AR119" i="26" a="1"/>
  <c r="AR119" i="26" s="1"/>
  <c r="AQ119" i="26" a="1"/>
  <c r="AQ119" i="26" s="1"/>
  <c r="AP119" i="26" a="1"/>
  <c r="AP119" i="26" s="1"/>
  <c r="AO119" i="26" a="1"/>
  <c r="AO119" i="26" s="1"/>
  <c r="AN119" i="26" a="1"/>
  <c r="AN119" i="26" s="1"/>
  <c r="AM119" i="26" a="1"/>
  <c r="AM119" i="26" s="1"/>
  <c r="AL119" i="26" a="1"/>
  <c r="AL119" i="26" s="1"/>
  <c r="AK119" i="26" a="1"/>
  <c r="AK119" i="26" s="1"/>
  <c r="AJ119" i="26" a="1"/>
  <c r="AJ119" i="26" s="1"/>
  <c r="AI119" i="26" a="1"/>
  <c r="AI119" i="26" s="1"/>
  <c r="AH119" i="26" a="1"/>
  <c r="AH119" i="26" s="1"/>
  <c r="AG119" i="26" a="1"/>
  <c r="AG119" i="26" s="1"/>
  <c r="AF119" i="26" a="1"/>
  <c r="AF119" i="26" s="1"/>
  <c r="AB119" i="26"/>
  <c r="BE118" i="26"/>
  <c r="BG118" i="26" s="1"/>
  <c r="BW118" i="26" s="1"/>
  <c r="AW118" i="26"/>
  <c r="AR118" i="26" a="1"/>
  <c r="AR118" i="26" s="1"/>
  <c r="AQ118" i="26" a="1"/>
  <c r="AQ118" i="26" s="1"/>
  <c r="AP118" i="26" a="1"/>
  <c r="AP118" i="26" s="1"/>
  <c r="AO118" i="26" a="1"/>
  <c r="AO118" i="26" s="1"/>
  <c r="AN118" i="26" a="1"/>
  <c r="AN118" i="26" s="1"/>
  <c r="AM118" i="26" a="1"/>
  <c r="AM118" i="26" s="1"/>
  <c r="AL118" i="26" a="1"/>
  <c r="AL118" i="26" s="1"/>
  <c r="AK118" i="26" a="1"/>
  <c r="AK118" i="26" s="1"/>
  <c r="AJ118" i="26" a="1"/>
  <c r="AJ118" i="26" s="1"/>
  <c r="AI118" i="26" a="1"/>
  <c r="AI118" i="26" s="1"/>
  <c r="AH118" i="26" a="1"/>
  <c r="AH118" i="26" s="1"/>
  <c r="AG118" i="26" a="1"/>
  <c r="AG118" i="26" s="1"/>
  <c r="AF118" i="26" a="1"/>
  <c r="AF118" i="26" s="1"/>
  <c r="BE117" i="26"/>
  <c r="BF117" i="26" s="1"/>
  <c r="AW117" i="26"/>
  <c r="AR117" i="26" a="1"/>
  <c r="AR117" i="26" s="1"/>
  <c r="AQ117" i="26" a="1"/>
  <c r="AQ117" i="26" s="1"/>
  <c r="AP117" i="26" a="1"/>
  <c r="AP117" i="26" s="1"/>
  <c r="AO117" i="26" a="1"/>
  <c r="AO117" i="26" s="1"/>
  <c r="AN117" i="26" a="1"/>
  <c r="AN117" i="26" s="1"/>
  <c r="AM117" i="26" a="1"/>
  <c r="AM117" i="26" s="1"/>
  <c r="AL117" i="26" a="1"/>
  <c r="AL117" i="26" s="1"/>
  <c r="AK117" i="26" a="1"/>
  <c r="AK117" i="26" s="1"/>
  <c r="AJ117" i="26" a="1"/>
  <c r="AJ117" i="26" s="1"/>
  <c r="AI117" i="26" a="1"/>
  <c r="AI117" i="26" s="1"/>
  <c r="AH117" i="26" a="1"/>
  <c r="AH117" i="26" s="1"/>
  <c r="AG117" i="26" a="1"/>
  <c r="AG117" i="26" s="1"/>
  <c r="AF117" i="26" a="1"/>
  <c r="AF117" i="26" s="1"/>
  <c r="AB117" i="26"/>
  <c r="BE116" i="26"/>
  <c r="BF116" i="26" s="1"/>
  <c r="AW116" i="26"/>
  <c r="AR116" i="26" a="1"/>
  <c r="AR116" i="26" s="1"/>
  <c r="AQ116" i="26" a="1"/>
  <c r="AQ116" i="26" s="1"/>
  <c r="AP116" i="26" a="1"/>
  <c r="AP116" i="26" s="1"/>
  <c r="AO116" i="26" a="1"/>
  <c r="AO116" i="26" s="1"/>
  <c r="AN116" i="26" a="1"/>
  <c r="AN116" i="26" s="1"/>
  <c r="AM116" i="26" a="1"/>
  <c r="AM116" i="26" s="1"/>
  <c r="AL116" i="26" a="1"/>
  <c r="AL116" i="26" s="1"/>
  <c r="AK116" i="26" a="1"/>
  <c r="AK116" i="26" s="1"/>
  <c r="AJ116" i="26" a="1"/>
  <c r="AJ116" i="26" s="1"/>
  <c r="AI116" i="26" a="1"/>
  <c r="AI116" i="26" s="1"/>
  <c r="AH116" i="26" a="1"/>
  <c r="AH116" i="26" s="1"/>
  <c r="AG116" i="26" a="1"/>
  <c r="AG116" i="26" s="1"/>
  <c r="AF116" i="26" a="1"/>
  <c r="AF116" i="26" s="1"/>
  <c r="AB116" i="26"/>
  <c r="BE115" i="26"/>
  <c r="BG115" i="26" s="1"/>
  <c r="BW115" i="26" s="1"/>
  <c r="AW115" i="26"/>
  <c r="AR115" i="26" a="1"/>
  <c r="AR115" i="26" s="1"/>
  <c r="AQ115" i="26" a="1"/>
  <c r="AQ115" i="26" s="1"/>
  <c r="AP115" i="26" a="1"/>
  <c r="AP115" i="26" s="1"/>
  <c r="AO115" i="26" a="1"/>
  <c r="AO115" i="26" s="1"/>
  <c r="AN115" i="26" a="1"/>
  <c r="AN115" i="26" s="1"/>
  <c r="AM115" i="26" a="1"/>
  <c r="AM115" i="26" s="1"/>
  <c r="AL115" i="26" a="1"/>
  <c r="AL115" i="26" s="1"/>
  <c r="AK115" i="26" a="1"/>
  <c r="AK115" i="26" s="1"/>
  <c r="AJ115" i="26" a="1"/>
  <c r="AJ115" i="26" s="1"/>
  <c r="AI115" i="26" a="1"/>
  <c r="AI115" i="26" s="1"/>
  <c r="AH115" i="26" a="1"/>
  <c r="AH115" i="26" s="1"/>
  <c r="AG115" i="26" a="1"/>
  <c r="AG115" i="26" s="1"/>
  <c r="AF115" i="26" a="1"/>
  <c r="AF115" i="26" s="1"/>
  <c r="AB115" i="26"/>
  <c r="BE114" i="26"/>
  <c r="BG114" i="26" s="1"/>
  <c r="BW114" i="26" s="1"/>
  <c r="AW114" i="26"/>
  <c r="AR114" i="26" a="1"/>
  <c r="AR114" i="26" s="1"/>
  <c r="AQ114" i="26" a="1"/>
  <c r="AQ114" i="26" s="1"/>
  <c r="AP114" i="26" a="1"/>
  <c r="AP114" i="26" s="1"/>
  <c r="AO114" i="26" a="1"/>
  <c r="AO114" i="26" s="1"/>
  <c r="AN114" i="26" a="1"/>
  <c r="AN114" i="26" s="1"/>
  <c r="AM114" i="26" a="1"/>
  <c r="AM114" i="26" s="1"/>
  <c r="AL114" i="26" a="1"/>
  <c r="AL114" i="26" s="1"/>
  <c r="AK114" i="26" a="1"/>
  <c r="AK114" i="26" s="1"/>
  <c r="AJ114" i="26" a="1"/>
  <c r="AJ114" i="26" s="1"/>
  <c r="AI114" i="26" a="1"/>
  <c r="AI114" i="26" s="1"/>
  <c r="AH114" i="26" a="1"/>
  <c r="AH114" i="26" s="1"/>
  <c r="AG114" i="26" a="1"/>
  <c r="AG114" i="26" s="1"/>
  <c r="AF114" i="26" a="1"/>
  <c r="AF114" i="26" s="1"/>
  <c r="AB114" i="26"/>
  <c r="BE113" i="26"/>
  <c r="BG113" i="26" s="1"/>
  <c r="BW113" i="26" s="1"/>
  <c r="AW113" i="26"/>
  <c r="AR113" i="26" a="1"/>
  <c r="AR113" i="26" s="1"/>
  <c r="AQ113" i="26" a="1"/>
  <c r="AQ113" i="26" s="1"/>
  <c r="AP113" i="26" a="1"/>
  <c r="AP113" i="26" s="1"/>
  <c r="AO113" i="26" a="1"/>
  <c r="AO113" i="26" s="1"/>
  <c r="AN113" i="26" a="1"/>
  <c r="AN113" i="26" s="1"/>
  <c r="AM113" i="26" a="1"/>
  <c r="AM113" i="26" s="1"/>
  <c r="AL113" i="26" a="1"/>
  <c r="AL113" i="26" s="1"/>
  <c r="AK113" i="26" a="1"/>
  <c r="AK113" i="26" s="1"/>
  <c r="AJ113" i="26" a="1"/>
  <c r="AJ113" i="26" s="1"/>
  <c r="AI113" i="26" a="1"/>
  <c r="AI113" i="26" s="1"/>
  <c r="AH113" i="26" a="1"/>
  <c r="AH113" i="26" s="1"/>
  <c r="AG113" i="26" a="1"/>
  <c r="AG113" i="26" s="1"/>
  <c r="AF113" i="26" a="1"/>
  <c r="AF113" i="26" s="1"/>
  <c r="AB113" i="26"/>
  <c r="BE112" i="26"/>
  <c r="BF112" i="26" s="1"/>
  <c r="AW112" i="26"/>
  <c r="AR112" i="26" a="1"/>
  <c r="AR112" i="26" s="1"/>
  <c r="AQ112" i="26" a="1"/>
  <c r="AQ112" i="26" s="1"/>
  <c r="AP112" i="26" a="1"/>
  <c r="AP112" i="26" s="1"/>
  <c r="AO112" i="26" a="1"/>
  <c r="AO112" i="26" s="1"/>
  <c r="AN112" i="26" a="1"/>
  <c r="AN112" i="26" s="1"/>
  <c r="AM112" i="26" a="1"/>
  <c r="AM112" i="26" s="1"/>
  <c r="AL112" i="26" a="1"/>
  <c r="AL112" i="26" s="1"/>
  <c r="AK112" i="26" a="1"/>
  <c r="AK112" i="26" s="1"/>
  <c r="AJ112" i="26" a="1"/>
  <c r="AJ112" i="26" s="1"/>
  <c r="AI112" i="26" a="1"/>
  <c r="AI112" i="26" s="1"/>
  <c r="AH112" i="26" a="1"/>
  <c r="AH112" i="26" s="1"/>
  <c r="AG112" i="26" a="1"/>
  <c r="AG112" i="26" s="1"/>
  <c r="AF112" i="26" a="1"/>
  <c r="AF112" i="26" s="1"/>
  <c r="AB112" i="26"/>
  <c r="BE111" i="26"/>
  <c r="BF111" i="26" s="1"/>
  <c r="AW111" i="26"/>
  <c r="AR111" i="26" a="1"/>
  <c r="AR111" i="26" s="1"/>
  <c r="AQ111" i="26" a="1"/>
  <c r="AQ111" i="26" s="1"/>
  <c r="AP111" i="26" a="1"/>
  <c r="AP111" i="26" s="1"/>
  <c r="AO111" i="26" a="1"/>
  <c r="AO111" i="26" s="1"/>
  <c r="AN111" i="26" a="1"/>
  <c r="AN111" i="26" s="1"/>
  <c r="AM111" i="26" a="1"/>
  <c r="AM111" i="26" s="1"/>
  <c r="AL111" i="26" a="1"/>
  <c r="AL111" i="26" s="1"/>
  <c r="AK111" i="26" a="1"/>
  <c r="AK111" i="26" s="1"/>
  <c r="AJ111" i="26" a="1"/>
  <c r="AJ111" i="26" s="1"/>
  <c r="AI111" i="26" a="1"/>
  <c r="AI111" i="26" s="1"/>
  <c r="AH111" i="26" a="1"/>
  <c r="AH111" i="26" s="1"/>
  <c r="AG111" i="26" a="1"/>
  <c r="AG111" i="26" s="1"/>
  <c r="AF111" i="26" a="1"/>
  <c r="AF111" i="26" s="1"/>
  <c r="AB111" i="26"/>
  <c r="BE110" i="26"/>
  <c r="AW110" i="26"/>
  <c r="AR110" i="26" a="1"/>
  <c r="AR110" i="26" s="1"/>
  <c r="AQ110" i="26" a="1"/>
  <c r="AQ110" i="26" s="1"/>
  <c r="AP110" i="26" a="1"/>
  <c r="AP110" i="26" s="1"/>
  <c r="AO110" i="26" a="1"/>
  <c r="AO110" i="26" s="1"/>
  <c r="AN110" i="26" a="1"/>
  <c r="AN110" i="26" s="1"/>
  <c r="AM110" i="26" a="1"/>
  <c r="AM110" i="26" s="1"/>
  <c r="AL110" i="26" a="1"/>
  <c r="AL110" i="26" s="1"/>
  <c r="AK110" i="26" a="1"/>
  <c r="AK110" i="26" s="1"/>
  <c r="AJ110" i="26" a="1"/>
  <c r="AJ110" i="26" s="1"/>
  <c r="AI110" i="26" a="1"/>
  <c r="AI110" i="26" s="1"/>
  <c r="AH110" i="26" a="1"/>
  <c r="AH110" i="26" s="1"/>
  <c r="AG110" i="26" a="1"/>
  <c r="AG110" i="26" s="1"/>
  <c r="AF110" i="26" a="1"/>
  <c r="AF110" i="26" s="1"/>
  <c r="AB110" i="26"/>
  <c r="BE109" i="26"/>
  <c r="BG109" i="26" s="1"/>
  <c r="BW109" i="26" s="1"/>
  <c r="AW109" i="26"/>
  <c r="AR109" i="26" a="1"/>
  <c r="AR109" i="26" s="1"/>
  <c r="AQ109" i="26" a="1"/>
  <c r="AQ109" i="26" s="1"/>
  <c r="AP109" i="26" a="1"/>
  <c r="AP109" i="26" s="1"/>
  <c r="AO109" i="26" a="1"/>
  <c r="AO109" i="26" s="1"/>
  <c r="AN109" i="26" a="1"/>
  <c r="AN109" i="26" s="1"/>
  <c r="AM109" i="26" a="1"/>
  <c r="AM109" i="26" s="1"/>
  <c r="AL109" i="26" a="1"/>
  <c r="AL109" i="26" s="1"/>
  <c r="AK109" i="26" a="1"/>
  <c r="AK109" i="26" s="1"/>
  <c r="AJ109" i="26" a="1"/>
  <c r="AJ109" i="26" s="1"/>
  <c r="AI109" i="26" a="1"/>
  <c r="AI109" i="26" s="1"/>
  <c r="AH109" i="26" a="1"/>
  <c r="AH109" i="26" s="1"/>
  <c r="AG109" i="26" a="1"/>
  <c r="AG109" i="26" s="1"/>
  <c r="AF109" i="26" a="1"/>
  <c r="AF109" i="26" s="1"/>
  <c r="AB109" i="26"/>
  <c r="BE108" i="26"/>
  <c r="BG108" i="26" s="1"/>
  <c r="BW108" i="26" s="1"/>
  <c r="AW108" i="26"/>
  <c r="AR108" i="26" a="1"/>
  <c r="AR108" i="26" s="1"/>
  <c r="AQ108" i="26" a="1"/>
  <c r="AQ108" i="26" s="1"/>
  <c r="AP108" i="26" a="1"/>
  <c r="AP108" i="26" s="1"/>
  <c r="AO108" i="26" a="1"/>
  <c r="AO108" i="26" s="1"/>
  <c r="AN108" i="26" a="1"/>
  <c r="AN108" i="26" s="1"/>
  <c r="AM108" i="26" a="1"/>
  <c r="AM108" i="26" s="1"/>
  <c r="AL108" i="26" a="1"/>
  <c r="AL108" i="26" s="1"/>
  <c r="AK108" i="26" a="1"/>
  <c r="AK108" i="26" s="1"/>
  <c r="AJ108" i="26" a="1"/>
  <c r="AJ108" i="26" s="1"/>
  <c r="AI108" i="26" a="1"/>
  <c r="AI108" i="26" s="1"/>
  <c r="AH108" i="26" a="1"/>
  <c r="AH108" i="26" s="1"/>
  <c r="AG108" i="26" a="1"/>
  <c r="AG108" i="26" s="1"/>
  <c r="AF108" i="26" a="1"/>
  <c r="AF108" i="26" s="1"/>
  <c r="BE107" i="26"/>
  <c r="AW107" i="26"/>
  <c r="AR107" i="26" a="1"/>
  <c r="AR107" i="26" s="1"/>
  <c r="AQ107" i="26" a="1"/>
  <c r="AQ107" i="26" s="1"/>
  <c r="AP107" i="26" a="1"/>
  <c r="AP107" i="26" s="1"/>
  <c r="AO107" i="26" a="1"/>
  <c r="AO107" i="26" s="1"/>
  <c r="AN107" i="26" a="1"/>
  <c r="AN107" i="26" s="1"/>
  <c r="AM107" i="26" a="1"/>
  <c r="AM107" i="26" s="1"/>
  <c r="AL107" i="26" a="1"/>
  <c r="AL107" i="26" s="1"/>
  <c r="AK107" i="26" a="1"/>
  <c r="AK107" i="26" s="1"/>
  <c r="AJ107" i="26" a="1"/>
  <c r="AJ107" i="26" s="1"/>
  <c r="AI107" i="26" a="1"/>
  <c r="AI107" i="26" s="1"/>
  <c r="AH107" i="26" a="1"/>
  <c r="AH107" i="26" s="1"/>
  <c r="AG107" i="26" a="1"/>
  <c r="AG107" i="26" s="1"/>
  <c r="AF107" i="26" a="1"/>
  <c r="AF107" i="26" s="1"/>
  <c r="AB107" i="26"/>
  <c r="BE106" i="26"/>
  <c r="BG106" i="26" s="1"/>
  <c r="BW106" i="26" s="1"/>
  <c r="AW106" i="26"/>
  <c r="AR106" i="26" a="1"/>
  <c r="AR106" i="26" s="1"/>
  <c r="AQ106" i="26" a="1"/>
  <c r="AQ106" i="26" s="1"/>
  <c r="AP106" i="26" a="1"/>
  <c r="AP106" i="26" s="1"/>
  <c r="AO106" i="26" a="1"/>
  <c r="AO106" i="26" s="1"/>
  <c r="AN106" i="26" a="1"/>
  <c r="AN106" i="26" s="1"/>
  <c r="AM106" i="26" a="1"/>
  <c r="AM106" i="26" s="1"/>
  <c r="AL106" i="26" a="1"/>
  <c r="AL106" i="26" s="1"/>
  <c r="AK106" i="26" a="1"/>
  <c r="AK106" i="26" s="1"/>
  <c r="AJ106" i="26" a="1"/>
  <c r="AJ106" i="26" s="1"/>
  <c r="AI106" i="26" a="1"/>
  <c r="AI106" i="26" s="1"/>
  <c r="AH106" i="26" a="1"/>
  <c r="AH106" i="26" s="1"/>
  <c r="AG106" i="26" a="1"/>
  <c r="AG106" i="26" s="1"/>
  <c r="AF106" i="26" a="1"/>
  <c r="AF106" i="26" s="1"/>
  <c r="AB106" i="26"/>
  <c r="BE105" i="26"/>
  <c r="BG105" i="26" s="1"/>
  <c r="BW105" i="26" s="1"/>
  <c r="AW105" i="26"/>
  <c r="AR105" i="26" a="1"/>
  <c r="AR105" i="26" s="1"/>
  <c r="AQ105" i="26" a="1"/>
  <c r="AQ105" i="26" s="1"/>
  <c r="AP105" i="26" a="1"/>
  <c r="AP105" i="26" s="1"/>
  <c r="AO105" i="26" a="1"/>
  <c r="AO105" i="26" s="1"/>
  <c r="AN105" i="26" a="1"/>
  <c r="AN105" i="26" s="1"/>
  <c r="AM105" i="26" a="1"/>
  <c r="AM105" i="26" s="1"/>
  <c r="AL105" i="26" a="1"/>
  <c r="AL105" i="26" s="1"/>
  <c r="AK105" i="26" a="1"/>
  <c r="AK105" i="26" s="1"/>
  <c r="AJ105" i="26" a="1"/>
  <c r="AJ105" i="26" s="1"/>
  <c r="AI105" i="26" a="1"/>
  <c r="AI105" i="26" s="1"/>
  <c r="AH105" i="26" a="1"/>
  <c r="AH105" i="26" s="1"/>
  <c r="AG105" i="26" a="1"/>
  <c r="AG105" i="26" s="1"/>
  <c r="AF105" i="26" a="1"/>
  <c r="AF105" i="26" s="1"/>
  <c r="BE104" i="26"/>
  <c r="AR104" i="26" a="1"/>
  <c r="AR104" i="26" s="1"/>
  <c r="AQ104" i="26" a="1"/>
  <c r="AQ104" i="26" s="1"/>
  <c r="AP104" i="26" a="1"/>
  <c r="AP104" i="26" s="1"/>
  <c r="AO104" i="26" a="1"/>
  <c r="AO104" i="26" s="1"/>
  <c r="AN104" i="26" a="1"/>
  <c r="AN104" i="26" s="1"/>
  <c r="AM104" i="26" a="1"/>
  <c r="AM104" i="26" s="1"/>
  <c r="AL104" i="26" a="1"/>
  <c r="AL104" i="26" s="1"/>
  <c r="AK104" i="26" a="1"/>
  <c r="AK104" i="26" s="1"/>
  <c r="AJ104" i="26" a="1"/>
  <c r="AJ104" i="26" s="1"/>
  <c r="AI104" i="26" a="1"/>
  <c r="AI104" i="26" s="1"/>
  <c r="AH104" i="26" a="1"/>
  <c r="AH104" i="26" s="1"/>
  <c r="AG104" i="26" a="1"/>
  <c r="AG104" i="26" s="1"/>
  <c r="AF104" i="26" a="1"/>
  <c r="AF104" i="26" s="1"/>
  <c r="BE103" i="26"/>
  <c r="BF103" i="26" s="1"/>
  <c r="AR103" i="26" a="1"/>
  <c r="AR103" i="26" s="1"/>
  <c r="AQ103" i="26" a="1"/>
  <c r="AQ103" i="26" s="1"/>
  <c r="AP103" i="26" a="1"/>
  <c r="AP103" i="26" s="1"/>
  <c r="AO103" i="26" a="1"/>
  <c r="AO103" i="26" s="1"/>
  <c r="AN103" i="26" a="1"/>
  <c r="AN103" i="26" s="1"/>
  <c r="AM103" i="26" a="1"/>
  <c r="AM103" i="26" s="1"/>
  <c r="AL103" i="26" a="1"/>
  <c r="AL103" i="26" s="1"/>
  <c r="AK103" i="26" a="1"/>
  <c r="AK103" i="26" s="1"/>
  <c r="AJ103" i="26" a="1"/>
  <c r="AJ103" i="26" s="1"/>
  <c r="AI103" i="26" a="1"/>
  <c r="AI103" i="26" s="1"/>
  <c r="AH103" i="26" a="1"/>
  <c r="AH103" i="26" s="1"/>
  <c r="AG103" i="26" a="1"/>
  <c r="AG103" i="26" s="1"/>
  <c r="AF103" i="26" a="1"/>
  <c r="AF103" i="26" s="1"/>
  <c r="BE102" i="26"/>
  <c r="AT102" i="26"/>
  <c r="AW102" i="26" s="1"/>
  <c r="AR102" i="26" a="1"/>
  <c r="AR102" i="26" s="1"/>
  <c r="AQ102" i="26" a="1"/>
  <c r="AQ102" i="26" s="1"/>
  <c r="AP102" i="26" a="1"/>
  <c r="AP102" i="26" s="1"/>
  <c r="AO102" i="26" a="1"/>
  <c r="AO102" i="26" s="1"/>
  <c r="AN102" i="26" a="1"/>
  <c r="AN102" i="26" s="1"/>
  <c r="AM102" i="26" a="1"/>
  <c r="AM102" i="26" s="1"/>
  <c r="AL102" i="26" a="1"/>
  <c r="AL102" i="26" s="1"/>
  <c r="AK102" i="26" a="1"/>
  <c r="AK102" i="26" s="1"/>
  <c r="AJ102" i="26" a="1"/>
  <c r="AJ102" i="26" s="1"/>
  <c r="AI102" i="26" a="1"/>
  <c r="AI102" i="26" s="1"/>
  <c r="AH102" i="26" a="1"/>
  <c r="AH102" i="26" s="1"/>
  <c r="AG102" i="26" a="1"/>
  <c r="AG102" i="26" s="1"/>
  <c r="AF102" i="26" a="1"/>
  <c r="AF102" i="26" s="1"/>
  <c r="AB102" i="26"/>
  <c r="BE101" i="26"/>
  <c r="AR101" i="26" a="1"/>
  <c r="AR101" i="26" s="1"/>
  <c r="AQ101" i="26" a="1"/>
  <c r="AQ101" i="26" s="1"/>
  <c r="AP101" i="26" a="1"/>
  <c r="AP101" i="26" s="1"/>
  <c r="AO101" i="26" a="1"/>
  <c r="AO101" i="26" s="1"/>
  <c r="AN101" i="26" a="1"/>
  <c r="AN101" i="26" s="1"/>
  <c r="AM101" i="26" a="1"/>
  <c r="AM101" i="26" s="1"/>
  <c r="AL101" i="26" a="1"/>
  <c r="AL101" i="26" s="1"/>
  <c r="AK101" i="26" a="1"/>
  <c r="AK101" i="26" s="1"/>
  <c r="AJ101" i="26" a="1"/>
  <c r="AJ101" i="26" s="1"/>
  <c r="AI101" i="26" a="1"/>
  <c r="AI101" i="26" s="1"/>
  <c r="AH101" i="26" a="1"/>
  <c r="AH101" i="26" s="1"/>
  <c r="AG101" i="26" a="1"/>
  <c r="AG101" i="26" s="1"/>
  <c r="AF101" i="26" a="1"/>
  <c r="AF101" i="26" s="1"/>
  <c r="BE100" i="26"/>
  <c r="BG100" i="26" s="1"/>
  <c r="BW100" i="26" s="1"/>
  <c r="AR100" i="26" a="1"/>
  <c r="AR100" i="26" s="1"/>
  <c r="AQ100" i="26" a="1"/>
  <c r="AQ100" i="26" s="1"/>
  <c r="AP100" i="26" a="1"/>
  <c r="AP100" i="26" s="1"/>
  <c r="AO100" i="26" a="1"/>
  <c r="AO100" i="26" s="1"/>
  <c r="AN100" i="26" a="1"/>
  <c r="AN100" i="26" s="1"/>
  <c r="AM100" i="26" a="1"/>
  <c r="AM100" i="26" s="1"/>
  <c r="AL100" i="26" a="1"/>
  <c r="AL100" i="26" s="1"/>
  <c r="AK100" i="26" a="1"/>
  <c r="AK100" i="26" s="1"/>
  <c r="AJ100" i="26" a="1"/>
  <c r="AJ100" i="26" s="1"/>
  <c r="AI100" i="26" a="1"/>
  <c r="AI100" i="26" s="1"/>
  <c r="AH100" i="26" a="1"/>
  <c r="AH100" i="26" s="1"/>
  <c r="AG100" i="26" a="1"/>
  <c r="AG100" i="26" s="1"/>
  <c r="AF100" i="26" a="1"/>
  <c r="AF100" i="26" s="1"/>
  <c r="BE99" i="26"/>
  <c r="AR99" i="26" a="1"/>
  <c r="AR99" i="26" s="1"/>
  <c r="AQ99" i="26" a="1"/>
  <c r="AQ99" i="26" s="1"/>
  <c r="AP99" i="26" a="1"/>
  <c r="AP99" i="26" s="1"/>
  <c r="AO99" i="26" a="1"/>
  <c r="AO99" i="26" s="1"/>
  <c r="AN99" i="26" a="1"/>
  <c r="AN99" i="26" s="1"/>
  <c r="AM99" i="26" a="1"/>
  <c r="AM99" i="26" s="1"/>
  <c r="AL99" i="26" a="1"/>
  <c r="AL99" i="26" s="1"/>
  <c r="AK99" i="26" a="1"/>
  <c r="AK99" i="26" s="1"/>
  <c r="AJ99" i="26" a="1"/>
  <c r="AJ99" i="26" s="1"/>
  <c r="AI99" i="26" a="1"/>
  <c r="AI99" i="26" s="1"/>
  <c r="AH99" i="26" a="1"/>
  <c r="AH99" i="26" s="1"/>
  <c r="AG99" i="26" a="1"/>
  <c r="AG99" i="26" s="1"/>
  <c r="AF99" i="26" a="1"/>
  <c r="AF99" i="26" s="1"/>
  <c r="BE98" i="26"/>
  <c r="BG98" i="26" s="1"/>
  <c r="BW98" i="26" s="1"/>
  <c r="AT98" i="26"/>
  <c r="AW98" i="26" s="1"/>
  <c r="AR98" i="26" a="1"/>
  <c r="AR98" i="26" s="1"/>
  <c r="AQ98" i="26" a="1"/>
  <c r="AQ98" i="26" s="1"/>
  <c r="AP98" i="26" a="1"/>
  <c r="AP98" i="26" s="1"/>
  <c r="AO98" i="26" a="1"/>
  <c r="AO98" i="26" s="1"/>
  <c r="AN98" i="26" a="1"/>
  <c r="AN98" i="26" s="1"/>
  <c r="AM98" i="26" a="1"/>
  <c r="AM98" i="26" s="1"/>
  <c r="AL98" i="26" a="1"/>
  <c r="AL98" i="26" s="1"/>
  <c r="AK98" i="26" a="1"/>
  <c r="AK98" i="26" s="1"/>
  <c r="AJ98" i="26" a="1"/>
  <c r="AJ98" i="26" s="1"/>
  <c r="AI98" i="26" a="1"/>
  <c r="AI98" i="26" s="1"/>
  <c r="AH98" i="26" a="1"/>
  <c r="AH98" i="26" s="1"/>
  <c r="AG98" i="26" a="1"/>
  <c r="AG98" i="26" s="1"/>
  <c r="AF98" i="26" a="1"/>
  <c r="AF98" i="26" s="1"/>
  <c r="AB98" i="26"/>
  <c r="BE97" i="26"/>
  <c r="BG97" i="26" s="1"/>
  <c r="BW97" i="26" s="1"/>
  <c r="AT97" i="26"/>
  <c r="AW97" i="26" s="1"/>
  <c r="AR97" i="26" a="1"/>
  <c r="AR97" i="26" s="1"/>
  <c r="AQ97" i="26" a="1"/>
  <c r="AQ97" i="26" s="1"/>
  <c r="AP97" i="26" a="1"/>
  <c r="AP97" i="26" s="1"/>
  <c r="AO97" i="26" a="1"/>
  <c r="AO97" i="26" s="1"/>
  <c r="AN97" i="26" a="1"/>
  <c r="AN97" i="26" s="1"/>
  <c r="AM97" i="26" a="1"/>
  <c r="AM97" i="26" s="1"/>
  <c r="AL97" i="26" a="1"/>
  <c r="AL97" i="26" s="1"/>
  <c r="AK97" i="26" a="1"/>
  <c r="AK97" i="26" s="1"/>
  <c r="AJ97" i="26" a="1"/>
  <c r="AJ97" i="26" s="1"/>
  <c r="AI97" i="26" a="1"/>
  <c r="AI97" i="26" s="1"/>
  <c r="AH97" i="26" a="1"/>
  <c r="AH97" i="26" s="1"/>
  <c r="AG97" i="26" a="1"/>
  <c r="AG97" i="26" s="1"/>
  <c r="AF97" i="26" a="1"/>
  <c r="AF97" i="26" s="1"/>
  <c r="AB97" i="26"/>
  <c r="BE96" i="26"/>
  <c r="BG96" i="26" s="1"/>
  <c r="BW96" i="26" s="1"/>
  <c r="AR96" i="26" a="1"/>
  <c r="AR96" i="26" s="1"/>
  <c r="AQ96" i="26" a="1"/>
  <c r="AQ96" i="26" s="1"/>
  <c r="AP96" i="26" a="1"/>
  <c r="AP96" i="26" s="1"/>
  <c r="AO96" i="26" a="1"/>
  <c r="AO96" i="26" s="1"/>
  <c r="AN96" i="26" a="1"/>
  <c r="AN96" i="26" s="1"/>
  <c r="AM96" i="26" a="1"/>
  <c r="AM96" i="26" s="1"/>
  <c r="AL96" i="26" a="1"/>
  <c r="AL96" i="26" s="1"/>
  <c r="AK96" i="26" a="1"/>
  <c r="AK96" i="26" s="1"/>
  <c r="AJ96" i="26" a="1"/>
  <c r="AJ96" i="26" s="1"/>
  <c r="AI96" i="26" a="1"/>
  <c r="AI96" i="26" s="1"/>
  <c r="AH96" i="26" a="1"/>
  <c r="AH96" i="26" s="1"/>
  <c r="AG96" i="26" a="1"/>
  <c r="AG96" i="26" s="1"/>
  <c r="AF96" i="26" a="1"/>
  <c r="AF96" i="26" s="1"/>
  <c r="BE95" i="26"/>
  <c r="BG95" i="26" s="1"/>
  <c r="BW95" i="26" s="1"/>
  <c r="AR95" i="26" a="1"/>
  <c r="AR95" i="26" s="1"/>
  <c r="AQ95" i="26" a="1"/>
  <c r="AQ95" i="26" s="1"/>
  <c r="AP95" i="26" a="1"/>
  <c r="AP95" i="26" s="1"/>
  <c r="AO95" i="26" a="1"/>
  <c r="AO95" i="26" s="1"/>
  <c r="AN95" i="26" a="1"/>
  <c r="AN95" i="26" s="1"/>
  <c r="AM95" i="26" a="1"/>
  <c r="AM95" i="26" s="1"/>
  <c r="AL95" i="26" a="1"/>
  <c r="AL95" i="26" s="1"/>
  <c r="AK95" i="26" a="1"/>
  <c r="AK95" i="26" s="1"/>
  <c r="AJ95" i="26" a="1"/>
  <c r="AJ95" i="26" s="1"/>
  <c r="AI95" i="26" a="1"/>
  <c r="AI95" i="26" s="1"/>
  <c r="AH95" i="26" a="1"/>
  <c r="AH95" i="26" s="1"/>
  <c r="AG95" i="26" a="1"/>
  <c r="AG95" i="26" s="1"/>
  <c r="AF95" i="26" a="1"/>
  <c r="AF95" i="26" s="1"/>
  <c r="BE94" i="26"/>
  <c r="BG94" i="26" s="1"/>
  <c r="BW94" i="26" s="1"/>
  <c r="AR94" i="26" a="1"/>
  <c r="AR94" i="26" s="1"/>
  <c r="AQ94" i="26" a="1"/>
  <c r="AQ94" i="26" s="1"/>
  <c r="AP94" i="26" a="1"/>
  <c r="AP94" i="26" s="1"/>
  <c r="AO94" i="26" a="1"/>
  <c r="AO94" i="26" s="1"/>
  <c r="AN94" i="26" a="1"/>
  <c r="AN94" i="26" s="1"/>
  <c r="AM94" i="26" a="1"/>
  <c r="AM94" i="26" s="1"/>
  <c r="AL94" i="26" a="1"/>
  <c r="AL94" i="26" s="1"/>
  <c r="AK94" i="26" a="1"/>
  <c r="AK94" i="26" s="1"/>
  <c r="AJ94" i="26" a="1"/>
  <c r="AJ94" i="26" s="1"/>
  <c r="AI94" i="26" a="1"/>
  <c r="AI94" i="26" s="1"/>
  <c r="AH94" i="26" a="1"/>
  <c r="AH94" i="26" s="1"/>
  <c r="AG94" i="26" a="1"/>
  <c r="AG94" i="26" s="1"/>
  <c r="AF94" i="26" a="1"/>
  <c r="AF94" i="26" s="1"/>
  <c r="BE93" i="26"/>
  <c r="AR93" i="26" a="1"/>
  <c r="AR93" i="26" s="1"/>
  <c r="AQ93" i="26" a="1"/>
  <c r="AQ93" i="26" s="1"/>
  <c r="AP93" i="26" a="1"/>
  <c r="AP93" i="26" s="1"/>
  <c r="AO93" i="26" a="1"/>
  <c r="AO93" i="26" s="1"/>
  <c r="AN93" i="26" a="1"/>
  <c r="AN93" i="26" s="1"/>
  <c r="AM93" i="26" a="1"/>
  <c r="AM93" i="26" s="1"/>
  <c r="AL93" i="26" a="1"/>
  <c r="AL93" i="26" s="1"/>
  <c r="AK93" i="26" a="1"/>
  <c r="AK93" i="26" s="1"/>
  <c r="AJ93" i="26" a="1"/>
  <c r="AJ93" i="26" s="1"/>
  <c r="AI93" i="26" a="1"/>
  <c r="AI93" i="26" s="1"/>
  <c r="AH93" i="26" a="1"/>
  <c r="AH93" i="26" s="1"/>
  <c r="AG93" i="26" a="1"/>
  <c r="AG93" i="26" s="1"/>
  <c r="AF93" i="26" a="1"/>
  <c r="AF93" i="26" s="1"/>
  <c r="BE92" i="26"/>
  <c r="AR92" i="26" a="1"/>
  <c r="AR92" i="26" s="1"/>
  <c r="AQ92" i="26" a="1"/>
  <c r="AQ92" i="26" s="1"/>
  <c r="AP92" i="26" a="1"/>
  <c r="AP92" i="26" s="1"/>
  <c r="AO92" i="26" a="1"/>
  <c r="AO92" i="26" s="1"/>
  <c r="AN92" i="26" a="1"/>
  <c r="AN92" i="26" s="1"/>
  <c r="AM92" i="26" a="1"/>
  <c r="AM92" i="26" s="1"/>
  <c r="AL92" i="26" a="1"/>
  <c r="AL92" i="26" s="1"/>
  <c r="AK92" i="26" a="1"/>
  <c r="AK92" i="26" s="1"/>
  <c r="AJ92" i="26" a="1"/>
  <c r="AJ92" i="26" s="1"/>
  <c r="AI92" i="26" a="1"/>
  <c r="AI92" i="26" s="1"/>
  <c r="AH92" i="26" a="1"/>
  <c r="AH92" i="26" s="1"/>
  <c r="AG92" i="26" a="1"/>
  <c r="AG92" i="26" s="1"/>
  <c r="AF92" i="26" a="1"/>
  <c r="AF92" i="26" s="1"/>
  <c r="BE91" i="26"/>
  <c r="BF91" i="26" s="1"/>
  <c r="AR91" i="26" a="1"/>
  <c r="AR91" i="26" s="1"/>
  <c r="AQ91" i="26" a="1"/>
  <c r="AQ91" i="26" s="1"/>
  <c r="AP91" i="26" a="1"/>
  <c r="AP91" i="26" s="1"/>
  <c r="AO91" i="26" a="1"/>
  <c r="AO91" i="26" s="1"/>
  <c r="AN91" i="26" a="1"/>
  <c r="AN91" i="26" s="1"/>
  <c r="AM91" i="26" a="1"/>
  <c r="AM91" i="26" s="1"/>
  <c r="AL91" i="26" a="1"/>
  <c r="AL91" i="26" s="1"/>
  <c r="AK91" i="26" a="1"/>
  <c r="AK91" i="26" s="1"/>
  <c r="AJ91" i="26" a="1"/>
  <c r="AJ91" i="26" s="1"/>
  <c r="AI91" i="26" a="1"/>
  <c r="AI91" i="26" s="1"/>
  <c r="AH91" i="26" a="1"/>
  <c r="AH91" i="26" s="1"/>
  <c r="AG91" i="26" a="1"/>
  <c r="AG91" i="26" s="1"/>
  <c r="AF91" i="26" a="1"/>
  <c r="AF91" i="26" s="1"/>
  <c r="BE90" i="26"/>
  <c r="BF90" i="26" s="1"/>
  <c r="AR90" i="26" a="1"/>
  <c r="AR90" i="26" s="1"/>
  <c r="AQ90" i="26" a="1"/>
  <c r="AQ90" i="26" s="1"/>
  <c r="AP90" i="26" a="1"/>
  <c r="AP90" i="26" s="1"/>
  <c r="AO90" i="26" a="1"/>
  <c r="AO90" i="26" s="1"/>
  <c r="AN90" i="26" a="1"/>
  <c r="AN90" i="26" s="1"/>
  <c r="AM90" i="26" a="1"/>
  <c r="AM90" i="26" s="1"/>
  <c r="AL90" i="26" a="1"/>
  <c r="AL90" i="26" s="1"/>
  <c r="AK90" i="26" a="1"/>
  <c r="AK90" i="26" s="1"/>
  <c r="AJ90" i="26" a="1"/>
  <c r="AJ90" i="26" s="1"/>
  <c r="AI90" i="26" a="1"/>
  <c r="AI90" i="26" s="1"/>
  <c r="AH90" i="26" a="1"/>
  <c r="AH90" i="26" s="1"/>
  <c r="AG90" i="26" a="1"/>
  <c r="AG90" i="26" s="1"/>
  <c r="AF90" i="26" a="1"/>
  <c r="AF90" i="26" s="1"/>
  <c r="BE89" i="26"/>
  <c r="AR89" i="26" a="1"/>
  <c r="AR89" i="26" s="1"/>
  <c r="AQ89" i="26" a="1"/>
  <c r="AQ89" i="26" s="1"/>
  <c r="AP89" i="26" a="1"/>
  <c r="AP89" i="26" s="1"/>
  <c r="AO89" i="26" a="1"/>
  <c r="AO89" i="26" s="1"/>
  <c r="AN89" i="26" a="1"/>
  <c r="AN89" i="26" s="1"/>
  <c r="AM89" i="26" a="1"/>
  <c r="AM89" i="26" s="1"/>
  <c r="AL89" i="26" a="1"/>
  <c r="AL89" i="26" s="1"/>
  <c r="AK89" i="26" a="1"/>
  <c r="AK89" i="26" s="1"/>
  <c r="AJ89" i="26" a="1"/>
  <c r="AJ89" i="26" s="1"/>
  <c r="AI89" i="26" a="1"/>
  <c r="AI89" i="26" s="1"/>
  <c r="AH89" i="26" a="1"/>
  <c r="AH89" i="26" s="1"/>
  <c r="AG89" i="26" a="1"/>
  <c r="AG89" i="26" s="1"/>
  <c r="AF89" i="26" a="1"/>
  <c r="AF89" i="26" s="1"/>
  <c r="BE88" i="26"/>
  <c r="BG88" i="26" s="1"/>
  <c r="BW88" i="26" s="1"/>
  <c r="AR88" i="26" a="1"/>
  <c r="AR88" i="26" s="1"/>
  <c r="AQ88" i="26" a="1"/>
  <c r="AQ88" i="26" s="1"/>
  <c r="AP88" i="26" a="1"/>
  <c r="AP88" i="26" s="1"/>
  <c r="AO88" i="26" a="1"/>
  <c r="AO88" i="26" s="1"/>
  <c r="AN88" i="26" a="1"/>
  <c r="AN88" i="26" s="1"/>
  <c r="AM88" i="26" a="1"/>
  <c r="AM88" i="26" s="1"/>
  <c r="AL88" i="26" a="1"/>
  <c r="AL88" i="26" s="1"/>
  <c r="AK88" i="26" a="1"/>
  <c r="AK88" i="26" s="1"/>
  <c r="AJ88" i="26" a="1"/>
  <c r="AJ88" i="26" s="1"/>
  <c r="AI88" i="26" a="1"/>
  <c r="AI88" i="26" s="1"/>
  <c r="AH88" i="26" a="1"/>
  <c r="AH88" i="26" s="1"/>
  <c r="AG88" i="26" a="1"/>
  <c r="AG88" i="26" s="1"/>
  <c r="AF88" i="26" a="1"/>
  <c r="AF88" i="26" s="1"/>
  <c r="BE87" i="26"/>
  <c r="AR87" i="26" a="1"/>
  <c r="AR87" i="26" s="1"/>
  <c r="AQ87" i="26" a="1"/>
  <c r="AQ87" i="26" s="1"/>
  <c r="AP87" i="26" a="1"/>
  <c r="AP87" i="26" s="1"/>
  <c r="AO87" i="26" a="1"/>
  <c r="AO87" i="26" s="1"/>
  <c r="AN87" i="26" a="1"/>
  <c r="AN87" i="26" s="1"/>
  <c r="AM87" i="26" a="1"/>
  <c r="AM87" i="26" s="1"/>
  <c r="AL87" i="26" a="1"/>
  <c r="AL87" i="26" s="1"/>
  <c r="AK87" i="26" a="1"/>
  <c r="AK87" i="26" s="1"/>
  <c r="AJ87" i="26" a="1"/>
  <c r="AJ87" i="26" s="1"/>
  <c r="AI87" i="26" a="1"/>
  <c r="AI87" i="26" s="1"/>
  <c r="AH87" i="26" a="1"/>
  <c r="AH87" i="26" s="1"/>
  <c r="AG87" i="26" a="1"/>
  <c r="AG87" i="26" s="1"/>
  <c r="AF87" i="26" a="1"/>
  <c r="AF87" i="26" s="1"/>
  <c r="BE86" i="26"/>
  <c r="BF86" i="26" s="1"/>
  <c r="AR86" i="26" a="1"/>
  <c r="AR86" i="26" s="1"/>
  <c r="AQ86" i="26" a="1"/>
  <c r="AQ86" i="26" s="1"/>
  <c r="AP86" i="26" a="1"/>
  <c r="AP86" i="26" s="1"/>
  <c r="AO86" i="26" a="1"/>
  <c r="AO86" i="26" s="1"/>
  <c r="AN86" i="26" a="1"/>
  <c r="AN86" i="26" s="1"/>
  <c r="AM86" i="26" a="1"/>
  <c r="AM86" i="26" s="1"/>
  <c r="AL86" i="26" a="1"/>
  <c r="AL86" i="26" s="1"/>
  <c r="AK86" i="26" a="1"/>
  <c r="AK86" i="26" s="1"/>
  <c r="AJ86" i="26" a="1"/>
  <c r="AJ86" i="26" s="1"/>
  <c r="AI86" i="26" a="1"/>
  <c r="AI86" i="26" s="1"/>
  <c r="AH86" i="26" a="1"/>
  <c r="AH86" i="26" s="1"/>
  <c r="AG86" i="26" a="1"/>
  <c r="AG86" i="26" s="1"/>
  <c r="AF86" i="26" a="1"/>
  <c r="AF86" i="26" s="1"/>
  <c r="BE85" i="26"/>
  <c r="AR85" i="26" a="1"/>
  <c r="AR85" i="26" s="1"/>
  <c r="AQ85" i="26" a="1"/>
  <c r="AQ85" i="26" s="1"/>
  <c r="AP85" i="26" a="1"/>
  <c r="AP85" i="26" s="1"/>
  <c r="AO85" i="26" a="1"/>
  <c r="AO85" i="26" s="1"/>
  <c r="AN85" i="26" a="1"/>
  <c r="AN85" i="26" s="1"/>
  <c r="AM85" i="26" a="1"/>
  <c r="AM85" i="26" s="1"/>
  <c r="AL85" i="26" a="1"/>
  <c r="AL85" i="26" s="1"/>
  <c r="AK85" i="26" a="1"/>
  <c r="AK85" i="26" s="1"/>
  <c r="AJ85" i="26" a="1"/>
  <c r="AJ85" i="26" s="1"/>
  <c r="AI85" i="26" a="1"/>
  <c r="AI85" i="26" s="1"/>
  <c r="AH85" i="26" a="1"/>
  <c r="AH85" i="26" s="1"/>
  <c r="AG85" i="26" a="1"/>
  <c r="AG85" i="26" s="1"/>
  <c r="AF85" i="26" a="1"/>
  <c r="AF85" i="26" s="1"/>
  <c r="BE84" i="26"/>
  <c r="AR84" i="26" a="1"/>
  <c r="AR84" i="26" s="1"/>
  <c r="AQ84" i="26" a="1"/>
  <c r="AQ84" i="26" s="1"/>
  <c r="AP84" i="26" a="1"/>
  <c r="AP84" i="26" s="1"/>
  <c r="AO84" i="26" a="1"/>
  <c r="AO84" i="26" s="1"/>
  <c r="AN84" i="26" a="1"/>
  <c r="AN84" i="26" s="1"/>
  <c r="AM84" i="26" a="1"/>
  <c r="AM84" i="26" s="1"/>
  <c r="AL84" i="26" a="1"/>
  <c r="AL84" i="26" s="1"/>
  <c r="AK84" i="26" a="1"/>
  <c r="AK84" i="26" s="1"/>
  <c r="AJ84" i="26" a="1"/>
  <c r="AJ84" i="26" s="1"/>
  <c r="AI84" i="26" a="1"/>
  <c r="AI84" i="26" s="1"/>
  <c r="AH84" i="26" a="1"/>
  <c r="AH84" i="26" s="1"/>
  <c r="AG84" i="26" a="1"/>
  <c r="AG84" i="26" s="1"/>
  <c r="AF84" i="26" a="1"/>
  <c r="AF84" i="26" s="1"/>
  <c r="BE83" i="26"/>
  <c r="AW83" i="26"/>
  <c r="AR83" i="26" a="1"/>
  <c r="AR83" i="26" s="1"/>
  <c r="AQ83" i="26" a="1"/>
  <c r="AQ83" i="26" s="1"/>
  <c r="AP83" i="26" a="1"/>
  <c r="AP83" i="26" s="1"/>
  <c r="AO83" i="26" a="1"/>
  <c r="AO83" i="26" s="1"/>
  <c r="AN83" i="26" a="1"/>
  <c r="AN83" i="26" s="1"/>
  <c r="AM83" i="26" a="1"/>
  <c r="AM83" i="26" s="1"/>
  <c r="AL83" i="26" a="1"/>
  <c r="AL83" i="26" s="1"/>
  <c r="AK83" i="26" a="1"/>
  <c r="AK83" i="26" s="1"/>
  <c r="AJ83" i="26" a="1"/>
  <c r="AJ83" i="26" s="1"/>
  <c r="AI83" i="26" a="1"/>
  <c r="AI83" i="26" s="1"/>
  <c r="AH83" i="26" a="1"/>
  <c r="AH83" i="26" s="1"/>
  <c r="AG83" i="26" a="1"/>
  <c r="AG83" i="26" s="1"/>
  <c r="AF83" i="26" a="1"/>
  <c r="AF83" i="26" s="1"/>
  <c r="BE82" i="26"/>
  <c r="BG82" i="26" s="1"/>
  <c r="BW82" i="26" s="1"/>
  <c r="AR82" i="26" a="1"/>
  <c r="AR82" i="26" s="1"/>
  <c r="AQ82" i="26" a="1"/>
  <c r="AQ82" i="26" s="1"/>
  <c r="AP82" i="26" a="1"/>
  <c r="AP82" i="26" s="1"/>
  <c r="AO82" i="26" a="1"/>
  <c r="AO82" i="26" s="1"/>
  <c r="AN82" i="26" a="1"/>
  <c r="AN82" i="26" s="1"/>
  <c r="AM82" i="26" a="1"/>
  <c r="AM82" i="26" s="1"/>
  <c r="AL82" i="26" a="1"/>
  <c r="AL82" i="26" s="1"/>
  <c r="AK82" i="26" a="1"/>
  <c r="AK82" i="26" s="1"/>
  <c r="AJ82" i="26" a="1"/>
  <c r="AJ82" i="26" s="1"/>
  <c r="AI82" i="26" a="1"/>
  <c r="AI82" i="26" s="1"/>
  <c r="AH82" i="26" a="1"/>
  <c r="AH82" i="26" s="1"/>
  <c r="AG82" i="26" a="1"/>
  <c r="AG82" i="26" s="1"/>
  <c r="AF82" i="26" a="1"/>
  <c r="AF82" i="26" s="1"/>
  <c r="BE81" i="26"/>
  <c r="BG81" i="26" s="1"/>
  <c r="BW81" i="26" s="1"/>
  <c r="AR81" i="26" a="1"/>
  <c r="AR81" i="26" s="1"/>
  <c r="AQ81" i="26" a="1"/>
  <c r="AQ81" i="26" s="1"/>
  <c r="AP81" i="26" a="1"/>
  <c r="AP81" i="26" s="1"/>
  <c r="AO81" i="26" a="1"/>
  <c r="AO81" i="26" s="1"/>
  <c r="AN81" i="26" a="1"/>
  <c r="AN81" i="26" s="1"/>
  <c r="AM81" i="26" a="1"/>
  <c r="AM81" i="26" s="1"/>
  <c r="AL81" i="26" a="1"/>
  <c r="AL81" i="26" s="1"/>
  <c r="AK81" i="26" a="1"/>
  <c r="AK81" i="26" s="1"/>
  <c r="AJ81" i="26" a="1"/>
  <c r="AJ81" i="26" s="1"/>
  <c r="AI81" i="26" a="1"/>
  <c r="AI81" i="26" s="1"/>
  <c r="AH81" i="26" a="1"/>
  <c r="AH81" i="26" s="1"/>
  <c r="AG81" i="26" a="1"/>
  <c r="AG81" i="26" s="1"/>
  <c r="AF81" i="26" a="1"/>
  <c r="AF81" i="26" s="1"/>
  <c r="BE80" i="26"/>
  <c r="BF80" i="26" s="1"/>
  <c r="AW80" i="26"/>
  <c r="AR80" i="26" a="1"/>
  <c r="AR80" i="26" s="1"/>
  <c r="AQ80" i="26" a="1"/>
  <c r="AQ80" i="26" s="1"/>
  <c r="AP80" i="26" a="1"/>
  <c r="AP80" i="26" s="1"/>
  <c r="AO80" i="26" a="1"/>
  <c r="AO80" i="26" s="1"/>
  <c r="AN80" i="26" a="1"/>
  <c r="AN80" i="26" s="1"/>
  <c r="AM80" i="26" a="1"/>
  <c r="AM80" i="26" s="1"/>
  <c r="AL80" i="26" a="1"/>
  <c r="AL80" i="26" s="1"/>
  <c r="AK80" i="26" a="1"/>
  <c r="AK80" i="26" s="1"/>
  <c r="AJ80" i="26" a="1"/>
  <c r="AJ80" i="26" s="1"/>
  <c r="AI80" i="26" a="1"/>
  <c r="AI80" i="26" s="1"/>
  <c r="AH80" i="26" a="1"/>
  <c r="AH80" i="26" s="1"/>
  <c r="AG80" i="26" a="1"/>
  <c r="AG80" i="26" s="1"/>
  <c r="AF80" i="26" a="1"/>
  <c r="AF80" i="26" s="1"/>
  <c r="BE79" i="26"/>
  <c r="BG79" i="26" s="1"/>
  <c r="BW79" i="26" s="1"/>
  <c r="AT79" i="26"/>
  <c r="AW79" i="26" s="1"/>
  <c r="AR79" i="26" a="1"/>
  <c r="AR79" i="26" s="1"/>
  <c r="AQ79" i="26" a="1"/>
  <c r="AQ79" i="26" s="1"/>
  <c r="AP79" i="26" a="1"/>
  <c r="AP79" i="26" s="1"/>
  <c r="AO79" i="26" a="1"/>
  <c r="AO79" i="26" s="1"/>
  <c r="AN79" i="26" a="1"/>
  <c r="AN79" i="26" s="1"/>
  <c r="AM79" i="26" a="1"/>
  <c r="AM79" i="26" s="1"/>
  <c r="AL79" i="26" a="1"/>
  <c r="AL79" i="26" s="1"/>
  <c r="AK79" i="26" a="1"/>
  <c r="AK79" i="26" s="1"/>
  <c r="AJ79" i="26" a="1"/>
  <c r="AJ79" i="26" s="1"/>
  <c r="AI79" i="26" a="1"/>
  <c r="AI79" i="26" s="1"/>
  <c r="AH79" i="26" a="1"/>
  <c r="AH79" i="26" s="1"/>
  <c r="AG79" i="26" a="1"/>
  <c r="AG79" i="26" s="1"/>
  <c r="AF79" i="26" a="1"/>
  <c r="AF79" i="26" s="1"/>
  <c r="AB79" i="26"/>
  <c r="BE78" i="26"/>
  <c r="BG78" i="26" s="1"/>
  <c r="BW78" i="26" s="1"/>
  <c r="AR78" i="26" a="1"/>
  <c r="AR78" i="26" s="1"/>
  <c r="AQ78" i="26" a="1"/>
  <c r="AQ78" i="26" s="1"/>
  <c r="AP78" i="26" a="1"/>
  <c r="AP78" i="26" s="1"/>
  <c r="AO78" i="26" a="1"/>
  <c r="AO78" i="26" s="1"/>
  <c r="AN78" i="26" a="1"/>
  <c r="AN78" i="26" s="1"/>
  <c r="AM78" i="26" a="1"/>
  <c r="AM78" i="26" s="1"/>
  <c r="AL78" i="26" a="1"/>
  <c r="AL78" i="26" s="1"/>
  <c r="AK78" i="26" a="1"/>
  <c r="AK78" i="26" s="1"/>
  <c r="AJ78" i="26" a="1"/>
  <c r="AJ78" i="26" s="1"/>
  <c r="AI78" i="26" a="1"/>
  <c r="AI78" i="26" s="1"/>
  <c r="AH78" i="26" a="1"/>
  <c r="AH78" i="26" s="1"/>
  <c r="AG78" i="26" a="1"/>
  <c r="AG78" i="26" s="1"/>
  <c r="AF78" i="26" a="1"/>
  <c r="AF78" i="26" s="1"/>
  <c r="BE77" i="26"/>
  <c r="BG77" i="26" s="1"/>
  <c r="BW77" i="26" s="1"/>
  <c r="AR77" i="26" a="1"/>
  <c r="AR77" i="26" s="1"/>
  <c r="AQ77" i="26" a="1"/>
  <c r="AQ77" i="26" s="1"/>
  <c r="AP77" i="26" a="1"/>
  <c r="AP77" i="26" s="1"/>
  <c r="AO77" i="26" a="1"/>
  <c r="AO77" i="26" s="1"/>
  <c r="AN77" i="26" a="1"/>
  <c r="AN77" i="26" s="1"/>
  <c r="AM77" i="26" a="1"/>
  <c r="AM77" i="26" s="1"/>
  <c r="AL77" i="26" a="1"/>
  <c r="AL77" i="26" s="1"/>
  <c r="AK77" i="26" a="1"/>
  <c r="AK77" i="26" s="1"/>
  <c r="AJ77" i="26" a="1"/>
  <c r="AJ77" i="26" s="1"/>
  <c r="AI77" i="26" a="1"/>
  <c r="AI77" i="26" s="1"/>
  <c r="AH77" i="26" a="1"/>
  <c r="AH77" i="26" s="1"/>
  <c r="AG77" i="26" a="1"/>
  <c r="AG77" i="26" s="1"/>
  <c r="AF77" i="26" a="1"/>
  <c r="AF77" i="26" s="1"/>
  <c r="BE76" i="26"/>
  <c r="AR76" i="26" a="1"/>
  <c r="AR76" i="26" s="1"/>
  <c r="AQ76" i="26" a="1"/>
  <c r="AQ76" i="26" s="1"/>
  <c r="AP76" i="26" a="1"/>
  <c r="AP76" i="26" s="1"/>
  <c r="AO76" i="26" a="1"/>
  <c r="AO76" i="26" s="1"/>
  <c r="AN76" i="26" a="1"/>
  <c r="AN76" i="26" s="1"/>
  <c r="AM76" i="26" a="1"/>
  <c r="AM76" i="26" s="1"/>
  <c r="AL76" i="26" a="1"/>
  <c r="AL76" i="26" s="1"/>
  <c r="AK76" i="26" a="1"/>
  <c r="AK76" i="26" s="1"/>
  <c r="AJ76" i="26" a="1"/>
  <c r="AJ76" i="26" s="1"/>
  <c r="AI76" i="26" a="1"/>
  <c r="AI76" i="26" s="1"/>
  <c r="AH76" i="26" a="1"/>
  <c r="AH76" i="26" s="1"/>
  <c r="AG76" i="26" a="1"/>
  <c r="AG76" i="26" s="1"/>
  <c r="AF76" i="26" a="1"/>
  <c r="AF76" i="26" s="1"/>
  <c r="BE75" i="26"/>
  <c r="BG75" i="26" s="1"/>
  <c r="BW75" i="26" s="1"/>
  <c r="AR75" i="26" a="1"/>
  <c r="AR75" i="26" s="1"/>
  <c r="AQ75" i="26" a="1"/>
  <c r="AQ75" i="26" s="1"/>
  <c r="AP75" i="26" a="1"/>
  <c r="AP75" i="26" s="1"/>
  <c r="AO75" i="26" a="1"/>
  <c r="AO75" i="26" s="1"/>
  <c r="AN75" i="26" a="1"/>
  <c r="AN75" i="26" s="1"/>
  <c r="AM75" i="26" a="1"/>
  <c r="AM75" i="26" s="1"/>
  <c r="AL75" i="26" a="1"/>
  <c r="AL75" i="26" s="1"/>
  <c r="AK75" i="26" a="1"/>
  <c r="AK75" i="26" s="1"/>
  <c r="AJ75" i="26" a="1"/>
  <c r="AJ75" i="26" s="1"/>
  <c r="AI75" i="26" a="1"/>
  <c r="AI75" i="26" s="1"/>
  <c r="AH75" i="26" a="1"/>
  <c r="AH75" i="26" s="1"/>
  <c r="AG75" i="26" a="1"/>
  <c r="AG75" i="26" s="1"/>
  <c r="AF75" i="26" a="1"/>
  <c r="AF75" i="26" s="1"/>
  <c r="BE74" i="26"/>
  <c r="BG74" i="26" s="1"/>
  <c r="BW74" i="26" s="1"/>
  <c r="AT74" i="26"/>
  <c r="AW74" i="26" s="1"/>
  <c r="AR74" i="26" a="1"/>
  <c r="AR74" i="26" s="1"/>
  <c r="AQ74" i="26" a="1"/>
  <c r="AQ74" i="26" s="1"/>
  <c r="AP74" i="26" a="1"/>
  <c r="AP74" i="26" s="1"/>
  <c r="AO74" i="26" a="1"/>
  <c r="AO74" i="26" s="1"/>
  <c r="AN74" i="26" a="1"/>
  <c r="AN74" i="26" s="1"/>
  <c r="AM74" i="26" a="1"/>
  <c r="AM74" i="26" s="1"/>
  <c r="AL74" i="26" a="1"/>
  <c r="AL74" i="26" s="1"/>
  <c r="AK74" i="26" a="1"/>
  <c r="AK74" i="26" s="1"/>
  <c r="AJ74" i="26" a="1"/>
  <c r="AJ74" i="26" s="1"/>
  <c r="AI74" i="26" a="1"/>
  <c r="AI74" i="26" s="1"/>
  <c r="AH74" i="26" a="1"/>
  <c r="AH74" i="26" s="1"/>
  <c r="AG74" i="26" a="1"/>
  <c r="AG74" i="26" s="1"/>
  <c r="AF74" i="26" a="1"/>
  <c r="AF74" i="26" s="1"/>
  <c r="AB74" i="26"/>
  <c r="BE73" i="26"/>
  <c r="BG73" i="26" s="1"/>
  <c r="BW73" i="26" s="1"/>
  <c r="AT73" i="26"/>
  <c r="AW73" i="26" s="1"/>
  <c r="AR73" i="26" a="1"/>
  <c r="AR73" i="26" s="1"/>
  <c r="AQ73" i="26" a="1"/>
  <c r="AQ73" i="26" s="1"/>
  <c r="AP73" i="26" a="1"/>
  <c r="AP73" i="26" s="1"/>
  <c r="AO73" i="26" a="1"/>
  <c r="AO73" i="26" s="1"/>
  <c r="AN73" i="26" a="1"/>
  <c r="AN73" i="26" s="1"/>
  <c r="AM73" i="26" a="1"/>
  <c r="AM73" i="26" s="1"/>
  <c r="AL73" i="26" a="1"/>
  <c r="AL73" i="26" s="1"/>
  <c r="AK73" i="26" a="1"/>
  <c r="AK73" i="26" s="1"/>
  <c r="AJ73" i="26" a="1"/>
  <c r="AJ73" i="26" s="1"/>
  <c r="AI73" i="26" a="1"/>
  <c r="AI73" i="26" s="1"/>
  <c r="AH73" i="26" a="1"/>
  <c r="AH73" i="26" s="1"/>
  <c r="AG73" i="26" a="1"/>
  <c r="AG73" i="26" s="1"/>
  <c r="AF73" i="26" a="1"/>
  <c r="AF73" i="26" s="1"/>
  <c r="AB73" i="26"/>
  <c r="BE72" i="26"/>
  <c r="BG72" i="26" s="1"/>
  <c r="BW72" i="26" s="1"/>
  <c r="AT72" i="26"/>
  <c r="AW72" i="26" s="1"/>
  <c r="AR72" i="26" a="1"/>
  <c r="AR72" i="26" s="1"/>
  <c r="AQ72" i="26" a="1"/>
  <c r="AQ72" i="26" s="1"/>
  <c r="AP72" i="26" a="1"/>
  <c r="AP72" i="26" s="1"/>
  <c r="AO72" i="26" a="1"/>
  <c r="AO72" i="26" s="1"/>
  <c r="AN72" i="26" a="1"/>
  <c r="AN72" i="26" s="1"/>
  <c r="AM72" i="26" a="1"/>
  <c r="AM72" i="26" s="1"/>
  <c r="AL72" i="26" a="1"/>
  <c r="AL72" i="26" s="1"/>
  <c r="AK72" i="26" a="1"/>
  <c r="AK72" i="26" s="1"/>
  <c r="AJ72" i="26" a="1"/>
  <c r="AJ72" i="26" s="1"/>
  <c r="AI72" i="26" a="1"/>
  <c r="AI72" i="26" s="1"/>
  <c r="AH72" i="26" a="1"/>
  <c r="AH72" i="26" s="1"/>
  <c r="AG72" i="26" a="1"/>
  <c r="AG72" i="26" s="1"/>
  <c r="AF72" i="26" a="1"/>
  <c r="AF72" i="26" s="1"/>
  <c r="AB72" i="26"/>
  <c r="BE71" i="26"/>
  <c r="AT71" i="26"/>
  <c r="AW71" i="26" s="1"/>
  <c r="AR71" i="26" a="1"/>
  <c r="AR71" i="26" s="1"/>
  <c r="AQ71" i="26" a="1"/>
  <c r="AQ71" i="26" s="1"/>
  <c r="AP71" i="26" a="1"/>
  <c r="AP71" i="26" s="1"/>
  <c r="AO71" i="26" a="1"/>
  <c r="AO71" i="26" s="1"/>
  <c r="AN71" i="26" a="1"/>
  <c r="AN71" i="26" s="1"/>
  <c r="AM71" i="26" a="1"/>
  <c r="AM71" i="26" s="1"/>
  <c r="AL71" i="26" a="1"/>
  <c r="AL71" i="26" s="1"/>
  <c r="AK71" i="26" a="1"/>
  <c r="AK71" i="26" s="1"/>
  <c r="AJ71" i="26" a="1"/>
  <c r="AJ71" i="26" s="1"/>
  <c r="AI71" i="26" a="1"/>
  <c r="AI71" i="26" s="1"/>
  <c r="AH71" i="26" a="1"/>
  <c r="AH71" i="26" s="1"/>
  <c r="AG71" i="26" a="1"/>
  <c r="AG71" i="26" s="1"/>
  <c r="AF71" i="26" a="1"/>
  <c r="AF71" i="26" s="1"/>
  <c r="AB71" i="26"/>
  <c r="BE70" i="26"/>
  <c r="AT70" i="26"/>
  <c r="AW70" i="26" s="1"/>
  <c r="AR70" i="26" a="1"/>
  <c r="AR70" i="26" s="1"/>
  <c r="AQ70" i="26" a="1"/>
  <c r="AQ70" i="26" s="1"/>
  <c r="AP70" i="26" a="1"/>
  <c r="AP70" i="26" s="1"/>
  <c r="AO70" i="26" a="1"/>
  <c r="AO70" i="26" s="1"/>
  <c r="AN70" i="26" a="1"/>
  <c r="AN70" i="26" s="1"/>
  <c r="AM70" i="26" a="1"/>
  <c r="AM70" i="26" s="1"/>
  <c r="AL70" i="26" a="1"/>
  <c r="AL70" i="26" s="1"/>
  <c r="AK70" i="26" a="1"/>
  <c r="AK70" i="26" s="1"/>
  <c r="AJ70" i="26" a="1"/>
  <c r="AJ70" i="26" s="1"/>
  <c r="AI70" i="26" a="1"/>
  <c r="AI70" i="26" s="1"/>
  <c r="AH70" i="26" a="1"/>
  <c r="AH70" i="26" s="1"/>
  <c r="AG70" i="26" a="1"/>
  <c r="AG70" i="26" s="1"/>
  <c r="AF70" i="26" a="1"/>
  <c r="AF70" i="26" s="1"/>
  <c r="AB70" i="26"/>
  <c r="BE69" i="26"/>
  <c r="AT69" i="26"/>
  <c r="AW69" i="26" s="1"/>
  <c r="AR69" i="26" a="1"/>
  <c r="AR69" i="26" s="1"/>
  <c r="AQ69" i="26" a="1"/>
  <c r="AQ69" i="26" s="1"/>
  <c r="AP69" i="26" a="1"/>
  <c r="AP69" i="26" s="1"/>
  <c r="AO69" i="26" a="1"/>
  <c r="AO69" i="26" s="1"/>
  <c r="AN69" i="26" a="1"/>
  <c r="AN69" i="26" s="1"/>
  <c r="AM69" i="26" a="1"/>
  <c r="AM69" i="26" s="1"/>
  <c r="AL69" i="26" a="1"/>
  <c r="AL69" i="26" s="1"/>
  <c r="AK69" i="26" a="1"/>
  <c r="AK69" i="26" s="1"/>
  <c r="AJ69" i="26" a="1"/>
  <c r="AJ69" i="26" s="1"/>
  <c r="AI69" i="26" a="1"/>
  <c r="AI69" i="26" s="1"/>
  <c r="AH69" i="26" a="1"/>
  <c r="AH69" i="26" s="1"/>
  <c r="AG69" i="26" a="1"/>
  <c r="AG69" i="26" s="1"/>
  <c r="AF69" i="26" a="1"/>
  <c r="AF69" i="26" s="1"/>
  <c r="AB69" i="26"/>
  <c r="BE68" i="26"/>
  <c r="AW68" i="26"/>
  <c r="AR68" i="26" a="1"/>
  <c r="AR68" i="26" s="1"/>
  <c r="AQ68" i="26" a="1"/>
  <c r="AQ68" i="26" s="1"/>
  <c r="AP68" i="26" a="1"/>
  <c r="AP68" i="26" s="1"/>
  <c r="AO68" i="26" a="1"/>
  <c r="AO68" i="26" s="1"/>
  <c r="AN68" i="26" a="1"/>
  <c r="AN68" i="26" s="1"/>
  <c r="AM68" i="26" a="1"/>
  <c r="AM68" i="26" s="1"/>
  <c r="AL68" i="26" a="1"/>
  <c r="AL68" i="26" s="1"/>
  <c r="AK68" i="26" a="1"/>
  <c r="AK68" i="26" s="1"/>
  <c r="AJ68" i="26" a="1"/>
  <c r="AJ68" i="26" s="1"/>
  <c r="AI68" i="26" a="1"/>
  <c r="AI68" i="26" s="1"/>
  <c r="AH68" i="26" a="1"/>
  <c r="AH68" i="26" s="1"/>
  <c r="AG68" i="26" a="1"/>
  <c r="AG68" i="26" s="1"/>
  <c r="AF68" i="26" a="1"/>
  <c r="AF68" i="26" s="1"/>
  <c r="BE67" i="26"/>
  <c r="BG67" i="26" s="1"/>
  <c r="BW67" i="26" s="1"/>
  <c r="AT67" i="26"/>
  <c r="AW67" i="26" s="1"/>
  <c r="AR67" i="26" a="1"/>
  <c r="AR67" i="26" s="1"/>
  <c r="AQ67" i="26" a="1"/>
  <c r="AQ67" i="26" s="1"/>
  <c r="AP67" i="26" a="1"/>
  <c r="AP67" i="26" s="1"/>
  <c r="AO67" i="26" a="1"/>
  <c r="AO67" i="26" s="1"/>
  <c r="AN67" i="26" a="1"/>
  <c r="AN67" i="26" s="1"/>
  <c r="AM67" i="26" a="1"/>
  <c r="AM67" i="26" s="1"/>
  <c r="AL67" i="26" a="1"/>
  <c r="AL67" i="26" s="1"/>
  <c r="AK67" i="26" a="1"/>
  <c r="AK67" i="26" s="1"/>
  <c r="AJ67" i="26" a="1"/>
  <c r="AJ67" i="26" s="1"/>
  <c r="AI67" i="26" a="1"/>
  <c r="AI67" i="26" s="1"/>
  <c r="AH67" i="26" a="1"/>
  <c r="AH67" i="26" s="1"/>
  <c r="AG67" i="26" a="1"/>
  <c r="AG67" i="26" s="1"/>
  <c r="AF67" i="26" a="1"/>
  <c r="AF67" i="26" s="1"/>
  <c r="AB67" i="26"/>
  <c r="BE66" i="26"/>
  <c r="AT66" i="26"/>
  <c r="AW66" i="26" s="1"/>
  <c r="AR66" i="26" a="1"/>
  <c r="AR66" i="26" s="1"/>
  <c r="AQ66" i="26" a="1"/>
  <c r="AQ66" i="26" s="1"/>
  <c r="AP66" i="26" a="1"/>
  <c r="AP66" i="26" s="1"/>
  <c r="AO66" i="26" a="1"/>
  <c r="AO66" i="26" s="1"/>
  <c r="AN66" i="26" a="1"/>
  <c r="AN66" i="26" s="1"/>
  <c r="AM66" i="26" a="1"/>
  <c r="AM66" i="26" s="1"/>
  <c r="AL66" i="26" a="1"/>
  <c r="AL66" i="26" s="1"/>
  <c r="AK66" i="26" a="1"/>
  <c r="AK66" i="26" s="1"/>
  <c r="AJ66" i="26" a="1"/>
  <c r="AJ66" i="26" s="1"/>
  <c r="AI66" i="26" a="1"/>
  <c r="AI66" i="26" s="1"/>
  <c r="AH66" i="26" a="1"/>
  <c r="AH66" i="26" s="1"/>
  <c r="AG66" i="26" a="1"/>
  <c r="AG66" i="26" s="1"/>
  <c r="AF66" i="26" a="1"/>
  <c r="AF66" i="26" s="1"/>
  <c r="AB66" i="26"/>
  <c r="BE65" i="26"/>
  <c r="BG65" i="26" s="1"/>
  <c r="BW65" i="26" s="1"/>
  <c r="AR65" i="26" a="1"/>
  <c r="AR65" i="26" s="1"/>
  <c r="AQ65" i="26" a="1"/>
  <c r="AQ65" i="26" s="1"/>
  <c r="AP65" i="26" a="1"/>
  <c r="AP65" i="26" s="1"/>
  <c r="AO65" i="26" a="1"/>
  <c r="AO65" i="26" s="1"/>
  <c r="AN65" i="26" a="1"/>
  <c r="AN65" i="26" s="1"/>
  <c r="AM65" i="26" a="1"/>
  <c r="AM65" i="26" s="1"/>
  <c r="AL65" i="26" a="1"/>
  <c r="AL65" i="26" s="1"/>
  <c r="AK65" i="26" a="1"/>
  <c r="AK65" i="26" s="1"/>
  <c r="AJ65" i="26" a="1"/>
  <c r="AJ65" i="26" s="1"/>
  <c r="AI65" i="26" a="1"/>
  <c r="AI65" i="26" s="1"/>
  <c r="AH65" i="26" a="1"/>
  <c r="AH65" i="26" s="1"/>
  <c r="AG65" i="26" a="1"/>
  <c r="AG65" i="26" s="1"/>
  <c r="AF65" i="26" a="1"/>
  <c r="AF65" i="26" s="1"/>
  <c r="BE64" i="26"/>
  <c r="BG64" i="26" s="1"/>
  <c r="BW64" i="26" s="1"/>
  <c r="AT64" i="26"/>
  <c r="AW64" i="26" s="1"/>
  <c r="AR64" i="26" a="1"/>
  <c r="AR64" i="26" s="1"/>
  <c r="AQ64" i="26" a="1"/>
  <c r="AQ64" i="26" s="1"/>
  <c r="AP64" i="26" a="1"/>
  <c r="AP64" i="26" s="1"/>
  <c r="AO64" i="26" a="1"/>
  <c r="AO64" i="26" s="1"/>
  <c r="AN64" i="26" a="1"/>
  <c r="AN64" i="26" s="1"/>
  <c r="AM64" i="26" a="1"/>
  <c r="AM64" i="26" s="1"/>
  <c r="AL64" i="26" a="1"/>
  <c r="AL64" i="26" s="1"/>
  <c r="AK64" i="26" a="1"/>
  <c r="AK64" i="26" s="1"/>
  <c r="AJ64" i="26" a="1"/>
  <c r="AJ64" i="26" s="1"/>
  <c r="AI64" i="26" a="1"/>
  <c r="AI64" i="26" s="1"/>
  <c r="AH64" i="26" a="1"/>
  <c r="AH64" i="26" s="1"/>
  <c r="AG64" i="26" a="1"/>
  <c r="AG64" i="26" s="1"/>
  <c r="AF64" i="26" a="1"/>
  <c r="AF64" i="26" s="1"/>
  <c r="AB64" i="26"/>
  <c r="BE63" i="26"/>
  <c r="BG63" i="26" s="1"/>
  <c r="BW63" i="26" s="1"/>
  <c r="AT63" i="26"/>
  <c r="AW63" i="26" s="1"/>
  <c r="AR63" i="26" a="1"/>
  <c r="AR63" i="26" s="1"/>
  <c r="AQ63" i="26" a="1"/>
  <c r="AQ63" i="26" s="1"/>
  <c r="AP63" i="26" a="1"/>
  <c r="AP63" i="26" s="1"/>
  <c r="AO63" i="26" a="1"/>
  <c r="AO63" i="26" s="1"/>
  <c r="AN63" i="26" a="1"/>
  <c r="AN63" i="26" s="1"/>
  <c r="AM63" i="26" a="1"/>
  <c r="AM63" i="26" s="1"/>
  <c r="AL63" i="26" a="1"/>
  <c r="AL63" i="26" s="1"/>
  <c r="AK63" i="26" a="1"/>
  <c r="AK63" i="26" s="1"/>
  <c r="AJ63" i="26" a="1"/>
  <c r="AJ63" i="26" s="1"/>
  <c r="AI63" i="26" a="1"/>
  <c r="AI63" i="26" s="1"/>
  <c r="AH63" i="26" a="1"/>
  <c r="AH63" i="26" s="1"/>
  <c r="AG63" i="26" a="1"/>
  <c r="AG63" i="26" s="1"/>
  <c r="AF63" i="26" a="1"/>
  <c r="AF63" i="26" s="1"/>
  <c r="AB63" i="26"/>
  <c r="BE62" i="26"/>
  <c r="BG62" i="26" s="1"/>
  <c r="BW62" i="26" s="1"/>
  <c r="AR62" i="26" a="1"/>
  <c r="AR62" i="26" s="1"/>
  <c r="AQ62" i="26" a="1"/>
  <c r="AQ62" i="26" s="1"/>
  <c r="AP62" i="26" a="1"/>
  <c r="AP62" i="26" s="1"/>
  <c r="AO62" i="26" a="1"/>
  <c r="AO62" i="26" s="1"/>
  <c r="AN62" i="26" a="1"/>
  <c r="AN62" i="26" s="1"/>
  <c r="AM62" i="26" a="1"/>
  <c r="AM62" i="26" s="1"/>
  <c r="AL62" i="26" a="1"/>
  <c r="AL62" i="26" s="1"/>
  <c r="AK62" i="26" a="1"/>
  <c r="AK62" i="26" s="1"/>
  <c r="AJ62" i="26" a="1"/>
  <c r="AJ62" i="26" s="1"/>
  <c r="AI62" i="26" a="1"/>
  <c r="AI62" i="26" s="1"/>
  <c r="AH62" i="26" a="1"/>
  <c r="AH62" i="26" s="1"/>
  <c r="AG62" i="26" a="1"/>
  <c r="AG62" i="26" s="1"/>
  <c r="AF62" i="26" a="1"/>
  <c r="AF62" i="26" s="1"/>
  <c r="BE61" i="26"/>
  <c r="BG61" i="26" s="1"/>
  <c r="BW61" i="26" s="1"/>
  <c r="AR61" i="26" a="1"/>
  <c r="AR61" i="26" s="1"/>
  <c r="AQ61" i="26" a="1"/>
  <c r="AQ61" i="26" s="1"/>
  <c r="AP61" i="26" a="1"/>
  <c r="AP61" i="26" s="1"/>
  <c r="AO61" i="26" a="1"/>
  <c r="AO61" i="26" s="1"/>
  <c r="AN61" i="26" a="1"/>
  <c r="AN61" i="26" s="1"/>
  <c r="AM61" i="26" a="1"/>
  <c r="AM61" i="26" s="1"/>
  <c r="AL61" i="26" a="1"/>
  <c r="AL61" i="26" s="1"/>
  <c r="AK61" i="26" a="1"/>
  <c r="AK61" i="26" s="1"/>
  <c r="AJ61" i="26" a="1"/>
  <c r="AJ61" i="26" s="1"/>
  <c r="AI61" i="26" a="1"/>
  <c r="AI61" i="26" s="1"/>
  <c r="AH61" i="26" a="1"/>
  <c r="AH61" i="26" s="1"/>
  <c r="AG61" i="26" a="1"/>
  <c r="AG61" i="26" s="1"/>
  <c r="AF61" i="26" a="1"/>
  <c r="AF61" i="26" s="1"/>
  <c r="BE60" i="26"/>
  <c r="BG60" i="26" s="1"/>
  <c r="BW60" i="26" s="1"/>
  <c r="AR60" i="26" a="1"/>
  <c r="AR60" i="26" s="1"/>
  <c r="AQ60" i="26" a="1"/>
  <c r="AQ60" i="26" s="1"/>
  <c r="AP60" i="26" a="1"/>
  <c r="AP60" i="26" s="1"/>
  <c r="AO60" i="26" a="1"/>
  <c r="AO60" i="26" s="1"/>
  <c r="AN60" i="26" a="1"/>
  <c r="AN60" i="26" s="1"/>
  <c r="AM60" i="26" a="1"/>
  <c r="AM60" i="26" s="1"/>
  <c r="AL60" i="26" a="1"/>
  <c r="AL60" i="26" s="1"/>
  <c r="AK60" i="26" a="1"/>
  <c r="AK60" i="26" s="1"/>
  <c r="AJ60" i="26" a="1"/>
  <c r="AJ60" i="26" s="1"/>
  <c r="AI60" i="26" a="1"/>
  <c r="AI60" i="26" s="1"/>
  <c r="AH60" i="26" a="1"/>
  <c r="AH60" i="26" s="1"/>
  <c r="AG60" i="26" a="1"/>
  <c r="AG60" i="26" s="1"/>
  <c r="AF60" i="26" a="1"/>
  <c r="AF60" i="26" s="1"/>
  <c r="BE59" i="26"/>
  <c r="BG59" i="26" s="1"/>
  <c r="BW59" i="26" s="1"/>
  <c r="AR59" i="26" a="1"/>
  <c r="AR59" i="26" s="1"/>
  <c r="AQ59" i="26" a="1"/>
  <c r="AQ59" i="26" s="1"/>
  <c r="AP59" i="26" a="1"/>
  <c r="AP59" i="26" s="1"/>
  <c r="AO59" i="26" a="1"/>
  <c r="AO59" i="26" s="1"/>
  <c r="AN59" i="26" a="1"/>
  <c r="AN59" i="26" s="1"/>
  <c r="AM59" i="26" a="1"/>
  <c r="AM59" i="26" s="1"/>
  <c r="AL59" i="26" a="1"/>
  <c r="AL59" i="26" s="1"/>
  <c r="AK59" i="26" a="1"/>
  <c r="AK59" i="26" s="1"/>
  <c r="AJ59" i="26" a="1"/>
  <c r="AJ59" i="26" s="1"/>
  <c r="AI59" i="26" a="1"/>
  <c r="AI59" i="26" s="1"/>
  <c r="AH59" i="26" a="1"/>
  <c r="AH59" i="26" s="1"/>
  <c r="AG59" i="26" a="1"/>
  <c r="AG59" i="26" s="1"/>
  <c r="AF59" i="26" a="1"/>
  <c r="AF59" i="26" s="1"/>
  <c r="BE58" i="26"/>
  <c r="AR58" i="26" a="1"/>
  <c r="AR58" i="26" s="1"/>
  <c r="AQ58" i="26" a="1"/>
  <c r="AQ58" i="26" s="1"/>
  <c r="AP58" i="26" a="1"/>
  <c r="AP58" i="26" s="1"/>
  <c r="AO58" i="26" a="1"/>
  <c r="AO58" i="26" s="1"/>
  <c r="AN58" i="26" a="1"/>
  <c r="AN58" i="26" s="1"/>
  <c r="AM58" i="26" a="1"/>
  <c r="AM58" i="26" s="1"/>
  <c r="AL58" i="26" a="1"/>
  <c r="AL58" i="26" s="1"/>
  <c r="AK58" i="26" a="1"/>
  <c r="AK58" i="26" s="1"/>
  <c r="AJ58" i="26" a="1"/>
  <c r="AJ58" i="26" s="1"/>
  <c r="AI58" i="26" a="1"/>
  <c r="AI58" i="26" s="1"/>
  <c r="AH58" i="26" a="1"/>
  <c r="AH58" i="26" s="1"/>
  <c r="AG58" i="26" a="1"/>
  <c r="AG58" i="26" s="1"/>
  <c r="AF58" i="26" a="1"/>
  <c r="AF58" i="26" s="1"/>
  <c r="BE57" i="26"/>
  <c r="BG57" i="26" s="1"/>
  <c r="BW57" i="26" s="1"/>
  <c r="AR57" i="26" a="1"/>
  <c r="AR57" i="26" s="1"/>
  <c r="AQ57" i="26" a="1"/>
  <c r="AQ57" i="26" s="1"/>
  <c r="AP57" i="26" a="1"/>
  <c r="AP57" i="26" s="1"/>
  <c r="AO57" i="26" a="1"/>
  <c r="AO57" i="26" s="1"/>
  <c r="AN57" i="26" a="1"/>
  <c r="AN57" i="26" s="1"/>
  <c r="AM57" i="26" a="1"/>
  <c r="AM57" i="26" s="1"/>
  <c r="AL57" i="26" a="1"/>
  <c r="AL57" i="26" s="1"/>
  <c r="AK57" i="26" a="1"/>
  <c r="AK57" i="26" s="1"/>
  <c r="AJ57" i="26" a="1"/>
  <c r="AJ57" i="26" s="1"/>
  <c r="AI57" i="26" a="1"/>
  <c r="AI57" i="26" s="1"/>
  <c r="AH57" i="26" a="1"/>
  <c r="AH57" i="26" s="1"/>
  <c r="AG57" i="26" a="1"/>
  <c r="AG57" i="26" s="1"/>
  <c r="AF57" i="26" a="1"/>
  <c r="AF57" i="26" s="1"/>
  <c r="BE56" i="26"/>
  <c r="BF56" i="26" s="1"/>
  <c r="AR56" i="26" a="1"/>
  <c r="AR56" i="26" s="1"/>
  <c r="AQ56" i="26" a="1"/>
  <c r="AQ56" i="26" s="1"/>
  <c r="AP56" i="26" a="1"/>
  <c r="AP56" i="26" s="1"/>
  <c r="AO56" i="26" a="1"/>
  <c r="AO56" i="26" s="1"/>
  <c r="AN56" i="26" a="1"/>
  <c r="AN56" i="26" s="1"/>
  <c r="AM56" i="26" a="1"/>
  <c r="AM56" i="26" s="1"/>
  <c r="AL56" i="26" a="1"/>
  <c r="AL56" i="26" s="1"/>
  <c r="AK56" i="26" a="1"/>
  <c r="AK56" i="26" s="1"/>
  <c r="AJ56" i="26" a="1"/>
  <c r="AJ56" i="26" s="1"/>
  <c r="AI56" i="26" a="1"/>
  <c r="AI56" i="26" s="1"/>
  <c r="AH56" i="26" a="1"/>
  <c r="AH56" i="26" s="1"/>
  <c r="AG56" i="26" a="1"/>
  <c r="AG56" i="26" s="1"/>
  <c r="AF56" i="26" a="1"/>
  <c r="AF56" i="26" s="1"/>
  <c r="BE55" i="26"/>
  <c r="AT55" i="26"/>
  <c r="AW55" i="26" s="1"/>
  <c r="AR55" i="26" a="1"/>
  <c r="AR55" i="26" s="1"/>
  <c r="AQ55" i="26" a="1"/>
  <c r="AQ55" i="26" s="1"/>
  <c r="AP55" i="26" a="1"/>
  <c r="AP55" i="26" s="1"/>
  <c r="AO55" i="26" a="1"/>
  <c r="AO55" i="26" s="1"/>
  <c r="AN55" i="26" a="1"/>
  <c r="AN55" i="26" s="1"/>
  <c r="AM55" i="26" a="1"/>
  <c r="AM55" i="26" s="1"/>
  <c r="AL55" i="26" a="1"/>
  <c r="AL55" i="26" s="1"/>
  <c r="AK55" i="26" a="1"/>
  <c r="AK55" i="26" s="1"/>
  <c r="AJ55" i="26" a="1"/>
  <c r="AJ55" i="26" s="1"/>
  <c r="AI55" i="26" a="1"/>
  <c r="AI55" i="26" s="1"/>
  <c r="AH55" i="26" a="1"/>
  <c r="AH55" i="26" s="1"/>
  <c r="AG55" i="26" a="1"/>
  <c r="AG55" i="26" s="1"/>
  <c r="AF55" i="26" a="1"/>
  <c r="AF55" i="26" s="1"/>
  <c r="AB55" i="26"/>
  <c r="BE54" i="26"/>
  <c r="BG54" i="26" s="1"/>
  <c r="BW54" i="26" s="1"/>
  <c r="AT54" i="26"/>
  <c r="AW54" i="26" s="1"/>
  <c r="AR54" i="26" a="1"/>
  <c r="AR54" i="26" s="1"/>
  <c r="AQ54" i="26" a="1"/>
  <c r="AQ54" i="26" s="1"/>
  <c r="AP54" i="26" a="1"/>
  <c r="AP54" i="26" s="1"/>
  <c r="AO54" i="26" a="1"/>
  <c r="AO54" i="26" s="1"/>
  <c r="AN54" i="26" a="1"/>
  <c r="AN54" i="26" s="1"/>
  <c r="AM54" i="26" a="1"/>
  <c r="AM54" i="26" s="1"/>
  <c r="AL54" i="26" a="1"/>
  <c r="AL54" i="26" s="1"/>
  <c r="AK54" i="26" a="1"/>
  <c r="AK54" i="26" s="1"/>
  <c r="AJ54" i="26" a="1"/>
  <c r="AJ54" i="26" s="1"/>
  <c r="AI54" i="26" a="1"/>
  <c r="AI54" i="26" s="1"/>
  <c r="AH54" i="26" a="1"/>
  <c r="AH54" i="26" s="1"/>
  <c r="AG54" i="26" a="1"/>
  <c r="AG54" i="26" s="1"/>
  <c r="AF54" i="26" a="1"/>
  <c r="AF54" i="26" s="1"/>
  <c r="AB54" i="26"/>
  <c r="BE53" i="26"/>
  <c r="BF53" i="26" s="1"/>
  <c r="AT53" i="26"/>
  <c r="AW53" i="26" s="1"/>
  <c r="AR53" i="26" a="1"/>
  <c r="AR53" i="26" s="1"/>
  <c r="AQ53" i="26" a="1"/>
  <c r="AQ53" i="26" s="1"/>
  <c r="AP53" i="26" a="1"/>
  <c r="AP53" i="26" s="1"/>
  <c r="AO53" i="26" a="1"/>
  <c r="AO53" i="26" s="1"/>
  <c r="AN53" i="26" a="1"/>
  <c r="AN53" i="26" s="1"/>
  <c r="AM53" i="26" a="1"/>
  <c r="AM53" i="26" s="1"/>
  <c r="AL53" i="26" a="1"/>
  <c r="AL53" i="26" s="1"/>
  <c r="AK53" i="26" a="1"/>
  <c r="AK53" i="26" s="1"/>
  <c r="AJ53" i="26" a="1"/>
  <c r="AJ53" i="26" s="1"/>
  <c r="AI53" i="26" a="1"/>
  <c r="AI53" i="26" s="1"/>
  <c r="AH53" i="26" a="1"/>
  <c r="AH53" i="26" s="1"/>
  <c r="AG53" i="26" a="1"/>
  <c r="AG53" i="26" s="1"/>
  <c r="AF53" i="26" a="1"/>
  <c r="AF53" i="26" s="1"/>
  <c r="AB53" i="26"/>
  <c r="BE52" i="26"/>
  <c r="BG52" i="26" s="1"/>
  <c r="BW52" i="26" s="1"/>
  <c r="AT52" i="26"/>
  <c r="AW52" i="26" s="1"/>
  <c r="AR52" i="26" a="1"/>
  <c r="AR52" i="26" s="1"/>
  <c r="AQ52" i="26" a="1"/>
  <c r="AQ52" i="26" s="1"/>
  <c r="AP52" i="26" a="1"/>
  <c r="AP52" i="26" s="1"/>
  <c r="AO52" i="26" a="1"/>
  <c r="AO52" i="26" s="1"/>
  <c r="AN52" i="26" a="1"/>
  <c r="AN52" i="26" s="1"/>
  <c r="AM52" i="26" a="1"/>
  <c r="AM52" i="26" s="1"/>
  <c r="AL52" i="26" a="1"/>
  <c r="AL52" i="26" s="1"/>
  <c r="AK52" i="26" a="1"/>
  <c r="AK52" i="26" s="1"/>
  <c r="AJ52" i="26" a="1"/>
  <c r="AJ52" i="26" s="1"/>
  <c r="AI52" i="26" a="1"/>
  <c r="AI52" i="26" s="1"/>
  <c r="AH52" i="26" a="1"/>
  <c r="AH52" i="26" s="1"/>
  <c r="AG52" i="26" a="1"/>
  <c r="AG52" i="26" s="1"/>
  <c r="AF52" i="26" a="1"/>
  <c r="AF52" i="26" s="1"/>
  <c r="AB52" i="26"/>
  <c r="BE51" i="26"/>
  <c r="BF51" i="26" s="1"/>
  <c r="AT51" i="26"/>
  <c r="AW51" i="26" s="1"/>
  <c r="AR51" i="26" a="1"/>
  <c r="AR51" i="26" s="1"/>
  <c r="AQ51" i="26" a="1"/>
  <c r="AQ51" i="26" s="1"/>
  <c r="AP51" i="26" a="1"/>
  <c r="AP51" i="26" s="1"/>
  <c r="AO51" i="26" a="1"/>
  <c r="AO51" i="26" s="1"/>
  <c r="AN51" i="26" a="1"/>
  <c r="AN51" i="26" s="1"/>
  <c r="AM51" i="26" a="1"/>
  <c r="AM51" i="26" s="1"/>
  <c r="AL51" i="26" a="1"/>
  <c r="AL51" i="26" s="1"/>
  <c r="AK51" i="26" a="1"/>
  <c r="AK51" i="26" s="1"/>
  <c r="AJ51" i="26" a="1"/>
  <c r="AJ51" i="26" s="1"/>
  <c r="AI51" i="26" a="1"/>
  <c r="AI51" i="26" s="1"/>
  <c r="AH51" i="26" a="1"/>
  <c r="AH51" i="26" s="1"/>
  <c r="AG51" i="26" a="1"/>
  <c r="AG51" i="26" s="1"/>
  <c r="AF51" i="26" a="1"/>
  <c r="AF51" i="26" s="1"/>
  <c r="AB51" i="26"/>
  <c r="BE50" i="26"/>
  <c r="BG50" i="26" s="1"/>
  <c r="BW50" i="26" s="1"/>
  <c r="AW50" i="26"/>
  <c r="AR50" i="26" a="1"/>
  <c r="AR50" i="26" s="1"/>
  <c r="AQ50" i="26" a="1"/>
  <c r="AQ50" i="26" s="1"/>
  <c r="AP50" i="26" a="1"/>
  <c r="AP50" i="26" s="1"/>
  <c r="AO50" i="26" a="1"/>
  <c r="AO50" i="26" s="1"/>
  <c r="AN50" i="26" a="1"/>
  <c r="AN50" i="26" s="1"/>
  <c r="AM50" i="26" a="1"/>
  <c r="AM50" i="26" s="1"/>
  <c r="AL50" i="26" a="1"/>
  <c r="AL50" i="26" s="1"/>
  <c r="AK50" i="26" a="1"/>
  <c r="AK50" i="26" s="1"/>
  <c r="AJ50" i="26" a="1"/>
  <c r="AJ50" i="26" s="1"/>
  <c r="AI50" i="26" a="1"/>
  <c r="AI50" i="26" s="1"/>
  <c r="AH50" i="26" a="1"/>
  <c r="AH50" i="26" s="1"/>
  <c r="AG50" i="26" a="1"/>
  <c r="AG50" i="26" s="1"/>
  <c r="AF50" i="26" a="1"/>
  <c r="AF50" i="26" s="1"/>
  <c r="BE49" i="26"/>
  <c r="BG49" i="26" s="1"/>
  <c r="BW49" i="26" s="1"/>
  <c r="AW49" i="26"/>
  <c r="AR49" i="26" a="1"/>
  <c r="AR49" i="26" s="1"/>
  <c r="AQ49" i="26" a="1"/>
  <c r="AQ49" i="26" s="1"/>
  <c r="AP49" i="26" a="1"/>
  <c r="AP49" i="26" s="1"/>
  <c r="AO49" i="26" a="1"/>
  <c r="AO49" i="26" s="1"/>
  <c r="AN49" i="26" a="1"/>
  <c r="AN49" i="26" s="1"/>
  <c r="AM49" i="26" a="1"/>
  <c r="AM49" i="26" s="1"/>
  <c r="AL49" i="26" a="1"/>
  <c r="AL49" i="26" s="1"/>
  <c r="AK49" i="26" a="1"/>
  <c r="AK49" i="26" s="1"/>
  <c r="AJ49" i="26" a="1"/>
  <c r="AJ49" i="26" s="1"/>
  <c r="AI49" i="26" a="1"/>
  <c r="AI49" i="26" s="1"/>
  <c r="AH49" i="26" a="1"/>
  <c r="AH49" i="26" s="1"/>
  <c r="AG49" i="26" a="1"/>
  <c r="AG49" i="26" s="1"/>
  <c r="AF49" i="26" a="1"/>
  <c r="AF49" i="26" s="1"/>
  <c r="BE48" i="26"/>
  <c r="BG48" i="26" s="1"/>
  <c r="BW48" i="26" s="1"/>
  <c r="AT48" i="26"/>
  <c r="AW48" i="26" s="1"/>
  <c r="AR48" i="26" a="1"/>
  <c r="AR48" i="26" s="1"/>
  <c r="AQ48" i="26" a="1"/>
  <c r="AQ48" i="26" s="1"/>
  <c r="AP48" i="26" a="1"/>
  <c r="AP48" i="26" s="1"/>
  <c r="AO48" i="26" a="1"/>
  <c r="AO48" i="26" s="1"/>
  <c r="AN48" i="26" a="1"/>
  <c r="AN48" i="26" s="1"/>
  <c r="AM48" i="26" a="1"/>
  <c r="AM48" i="26" s="1"/>
  <c r="AL48" i="26" a="1"/>
  <c r="AL48" i="26" s="1"/>
  <c r="AK48" i="26" a="1"/>
  <c r="AK48" i="26" s="1"/>
  <c r="AJ48" i="26" a="1"/>
  <c r="AJ48" i="26" s="1"/>
  <c r="AI48" i="26" a="1"/>
  <c r="AI48" i="26" s="1"/>
  <c r="AH48" i="26" a="1"/>
  <c r="AH48" i="26" s="1"/>
  <c r="AG48" i="26" a="1"/>
  <c r="AG48" i="26" s="1"/>
  <c r="AF48" i="26" a="1"/>
  <c r="AF48" i="26" s="1"/>
  <c r="AB48" i="26"/>
  <c r="BE47" i="26"/>
  <c r="AT47" i="26"/>
  <c r="AW47" i="26" s="1"/>
  <c r="AR47" i="26" a="1"/>
  <c r="AR47" i="26" s="1"/>
  <c r="AQ47" i="26" a="1"/>
  <c r="AQ47" i="26" s="1"/>
  <c r="AP47" i="26" a="1"/>
  <c r="AP47" i="26" s="1"/>
  <c r="AO47" i="26" a="1"/>
  <c r="AO47" i="26" s="1"/>
  <c r="AN47" i="26" a="1"/>
  <c r="AN47" i="26" s="1"/>
  <c r="AM47" i="26" a="1"/>
  <c r="AM47" i="26" s="1"/>
  <c r="AL47" i="26" a="1"/>
  <c r="AL47" i="26" s="1"/>
  <c r="AK47" i="26" a="1"/>
  <c r="AK47" i="26" s="1"/>
  <c r="AJ47" i="26" a="1"/>
  <c r="AJ47" i="26" s="1"/>
  <c r="AI47" i="26" a="1"/>
  <c r="AI47" i="26" s="1"/>
  <c r="AH47" i="26" a="1"/>
  <c r="AH47" i="26" s="1"/>
  <c r="AG47" i="26" a="1"/>
  <c r="AG47" i="26" s="1"/>
  <c r="AF47" i="26" a="1"/>
  <c r="AF47" i="26" s="1"/>
  <c r="AB47" i="26"/>
  <c r="BE46" i="26"/>
  <c r="AT46" i="26"/>
  <c r="AW46" i="26" s="1"/>
  <c r="AR46" i="26" a="1"/>
  <c r="AR46" i="26" s="1"/>
  <c r="AQ46" i="26" a="1"/>
  <c r="AQ46" i="26" s="1"/>
  <c r="AP46" i="26" a="1"/>
  <c r="AP46" i="26" s="1"/>
  <c r="AO46" i="26" a="1"/>
  <c r="AO46" i="26" s="1"/>
  <c r="AN46" i="26" a="1"/>
  <c r="AN46" i="26" s="1"/>
  <c r="AL46" i="26" a="1"/>
  <c r="AL46" i="26" s="1"/>
  <c r="AK46" i="26" a="1"/>
  <c r="AK46" i="26" s="1"/>
  <c r="AJ46" i="26" a="1"/>
  <c r="AJ46" i="26" s="1"/>
  <c r="AI46" i="26" a="1"/>
  <c r="AI46" i="26" s="1"/>
  <c r="AH46" i="26" a="1"/>
  <c r="AH46" i="26" s="1"/>
  <c r="AG46" i="26" a="1"/>
  <c r="AG46" i="26" s="1"/>
  <c r="AF46" i="26" a="1"/>
  <c r="AF46" i="26" s="1"/>
  <c r="AB46" i="26"/>
  <c r="BE45" i="26"/>
  <c r="AW45" i="26"/>
  <c r="AR45" i="26" a="1"/>
  <c r="AR45" i="26" s="1"/>
  <c r="AQ45" i="26" a="1"/>
  <c r="AQ45" i="26" s="1"/>
  <c r="AP45" i="26" a="1"/>
  <c r="AP45" i="26" s="1"/>
  <c r="AO45" i="26" a="1"/>
  <c r="AO45" i="26" s="1"/>
  <c r="AN45" i="26" a="1"/>
  <c r="AN45" i="26" s="1"/>
  <c r="AM45" i="26" a="1"/>
  <c r="AM45" i="26" s="1"/>
  <c r="AL45" i="26" a="1"/>
  <c r="AL45" i="26" s="1"/>
  <c r="AK45" i="26" a="1"/>
  <c r="AK45" i="26" s="1"/>
  <c r="AJ45" i="26" a="1"/>
  <c r="AJ45" i="26" s="1"/>
  <c r="AI45" i="26" a="1"/>
  <c r="AI45" i="26" s="1"/>
  <c r="AH45" i="26" a="1"/>
  <c r="AH45" i="26" s="1"/>
  <c r="AG45" i="26" a="1"/>
  <c r="AG45" i="26" s="1"/>
  <c r="AF45" i="26" a="1"/>
  <c r="AF45" i="26" s="1"/>
  <c r="BE44" i="26"/>
  <c r="BG44" i="26" s="1"/>
  <c r="BW44" i="26" s="1"/>
  <c r="AW44" i="26"/>
  <c r="AR44" i="26" a="1"/>
  <c r="AR44" i="26" s="1"/>
  <c r="AQ44" i="26" a="1"/>
  <c r="AQ44" i="26" s="1"/>
  <c r="AP44" i="26" a="1"/>
  <c r="AP44" i="26" s="1"/>
  <c r="AO44" i="26" a="1"/>
  <c r="AO44" i="26" s="1"/>
  <c r="AN44" i="26" a="1"/>
  <c r="AN44" i="26" s="1"/>
  <c r="AM44" i="26" a="1"/>
  <c r="AM44" i="26" s="1"/>
  <c r="AL44" i="26" a="1"/>
  <c r="AL44" i="26" s="1"/>
  <c r="AK44" i="26" a="1"/>
  <c r="AK44" i="26" s="1"/>
  <c r="AJ44" i="26" a="1"/>
  <c r="AJ44" i="26" s="1"/>
  <c r="AI44" i="26" a="1"/>
  <c r="AI44" i="26" s="1"/>
  <c r="AH44" i="26" a="1"/>
  <c r="AH44" i="26" s="1"/>
  <c r="AG44" i="26" a="1"/>
  <c r="AG44" i="26" s="1"/>
  <c r="AF44" i="26" a="1"/>
  <c r="AF44" i="26" s="1"/>
  <c r="BE43" i="26"/>
  <c r="BF43" i="26" s="1"/>
  <c r="AT43" i="26"/>
  <c r="AW43" i="26" s="1"/>
  <c r="AR43" i="26" a="1"/>
  <c r="AR43" i="26" s="1"/>
  <c r="AQ43" i="26" a="1"/>
  <c r="AQ43" i="26" s="1"/>
  <c r="AP43" i="26" a="1"/>
  <c r="AP43" i="26" s="1"/>
  <c r="AO43" i="26" a="1"/>
  <c r="AO43" i="26" s="1"/>
  <c r="AN43" i="26" a="1"/>
  <c r="AN43" i="26" s="1"/>
  <c r="AM43" i="26" a="1"/>
  <c r="AM43" i="26" s="1"/>
  <c r="AL43" i="26" a="1"/>
  <c r="AL43" i="26" s="1"/>
  <c r="AK43" i="26" a="1"/>
  <c r="AK43" i="26" s="1"/>
  <c r="AJ43" i="26" a="1"/>
  <c r="AJ43" i="26" s="1"/>
  <c r="AI43" i="26" a="1"/>
  <c r="AI43" i="26" s="1"/>
  <c r="AH43" i="26" a="1"/>
  <c r="AH43" i="26" s="1"/>
  <c r="AG43" i="26" a="1"/>
  <c r="AG43" i="26" s="1"/>
  <c r="AF43" i="26" a="1"/>
  <c r="AF43" i="26" s="1"/>
  <c r="AB43" i="26"/>
  <c r="BE42" i="26"/>
  <c r="AT42" i="26"/>
  <c r="AW42" i="26" s="1"/>
  <c r="AR42" i="26" a="1"/>
  <c r="AR42" i="26" s="1"/>
  <c r="AQ42" i="26" a="1"/>
  <c r="AQ42" i="26" s="1"/>
  <c r="AP42" i="26" a="1"/>
  <c r="AP42" i="26" s="1"/>
  <c r="AO42" i="26" a="1"/>
  <c r="AO42" i="26" s="1"/>
  <c r="AN42" i="26" a="1"/>
  <c r="AN42" i="26" s="1"/>
  <c r="AM42" i="26" a="1"/>
  <c r="AM42" i="26" s="1"/>
  <c r="AL42" i="26" a="1"/>
  <c r="AL42" i="26" s="1"/>
  <c r="AK42" i="26" a="1"/>
  <c r="AK42" i="26" s="1"/>
  <c r="AJ42" i="26" a="1"/>
  <c r="AJ42" i="26" s="1"/>
  <c r="AI42" i="26" a="1"/>
  <c r="AI42" i="26" s="1"/>
  <c r="AH42" i="26" a="1"/>
  <c r="AH42" i="26" s="1"/>
  <c r="AG42" i="26" a="1"/>
  <c r="AG42" i="26" s="1"/>
  <c r="AF42" i="26" a="1"/>
  <c r="AF42" i="26" s="1"/>
  <c r="AB42" i="26"/>
  <c r="BE41" i="26"/>
  <c r="AW41" i="26"/>
  <c r="AR41" i="26" a="1"/>
  <c r="AR41" i="26" s="1"/>
  <c r="AQ41" i="26" a="1"/>
  <c r="AQ41" i="26" s="1"/>
  <c r="AP41" i="26" a="1"/>
  <c r="AP41" i="26" s="1"/>
  <c r="AO41" i="26" a="1"/>
  <c r="AO41" i="26" s="1"/>
  <c r="AN41" i="26" a="1"/>
  <c r="AN41" i="26" s="1"/>
  <c r="AM41" i="26" a="1"/>
  <c r="AM41" i="26" s="1"/>
  <c r="AL41" i="26" a="1"/>
  <c r="AL41" i="26" s="1"/>
  <c r="AK41" i="26" a="1"/>
  <c r="AK41" i="26" s="1"/>
  <c r="AJ41" i="26" a="1"/>
  <c r="AJ41" i="26" s="1"/>
  <c r="AI41" i="26" a="1"/>
  <c r="AI41" i="26" s="1"/>
  <c r="AH41" i="26" a="1"/>
  <c r="AH41" i="26" s="1"/>
  <c r="AG41" i="26" a="1"/>
  <c r="AG41" i="26" s="1"/>
  <c r="AF41" i="26" a="1"/>
  <c r="AF41" i="26" s="1"/>
  <c r="BE40" i="26"/>
  <c r="BF40" i="26" s="1"/>
  <c r="AR40" i="26" a="1"/>
  <c r="AR40" i="26" s="1"/>
  <c r="AQ40" i="26" a="1"/>
  <c r="AQ40" i="26" s="1"/>
  <c r="AP40" i="26" a="1"/>
  <c r="AP40" i="26" s="1"/>
  <c r="AO40" i="26" a="1"/>
  <c r="AO40" i="26" s="1"/>
  <c r="AN40" i="26" a="1"/>
  <c r="AN40" i="26" s="1"/>
  <c r="AM40" i="26" a="1"/>
  <c r="AM40" i="26" s="1"/>
  <c r="AL40" i="26" a="1"/>
  <c r="AL40" i="26" s="1"/>
  <c r="AK40" i="26" a="1"/>
  <c r="AK40" i="26" s="1"/>
  <c r="AJ40" i="26" a="1"/>
  <c r="AJ40" i="26" s="1"/>
  <c r="AI40" i="26" a="1"/>
  <c r="AI40" i="26" s="1"/>
  <c r="AH40" i="26" a="1"/>
  <c r="AH40" i="26" s="1"/>
  <c r="AG40" i="26" a="1"/>
  <c r="AG40" i="26" s="1"/>
  <c r="AF40" i="26" a="1"/>
  <c r="AF40" i="26" s="1"/>
  <c r="BE39" i="26"/>
  <c r="BG39" i="26" s="1"/>
  <c r="BW39" i="26" s="1"/>
  <c r="AW39" i="26"/>
  <c r="AR39" i="26" a="1"/>
  <c r="AR39" i="26" s="1"/>
  <c r="AQ39" i="26" a="1"/>
  <c r="AQ39" i="26" s="1"/>
  <c r="AP39" i="26" a="1"/>
  <c r="AP39" i="26" s="1"/>
  <c r="AO39" i="26" a="1"/>
  <c r="AO39" i="26" s="1"/>
  <c r="AN39" i="26" a="1"/>
  <c r="AN39" i="26" s="1"/>
  <c r="AM39" i="26" a="1"/>
  <c r="AM39" i="26" s="1"/>
  <c r="AL39" i="26" a="1"/>
  <c r="AL39" i="26" s="1"/>
  <c r="AK39" i="26" a="1"/>
  <c r="AK39" i="26" s="1"/>
  <c r="AJ39" i="26" a="1"/>
  <c r="AJ39" i="26" s="1"/>
  <c r="AI39" i="26" a="1"/>
  <c r="AI39" i="26" s="1"/>
  <c r="AH39" i="26" a="1"/>
  <c r="AH39" i="26" s="1"/>
  <c r="AG39" i="26" a="1"/>
  <c r="AG39" i="26" s="1"/>
  <c r="AF39" i="26" a="1"/>
  <c r="AF39" i="26" s="1"/>
  <c r="BE38" i="26"/>
  <c r="AR38" i="26" a="1"/>
  <c r="AR38" i="26" s="1"/>
  <c r="AQ38" i="26" a="1"/>
  <c r="AQ38" i="26" s="1"/>
  <c r="AP38" i="26" a="1"/>
  <c r="AP38" i="26" s="1"/>
  <c r="AO38" i="26" a="1"/>
  <c r="AO38" i="26" s="1"/>
  <c r="AN38" i="26" a="1"/>
  <c r="AN38" i="26" s="1"/>
  <c r="AM38" i="26" a="1"/>
  <c r="AM38" i="26" s="1"/>
  <c r="AL38" i="26" a="1"/>
  <c r="AL38" i="26" s="1"/>
  <c r="AK38" i="26" a="1"/>
  <c r="AK38" i="26" s="1"/>
  <c r="AJ38" i="26" a="1"/>
  <c r="AJ38" i="26" s="1"/>
  <c r="AI38" i="26" a="1"/>
  <c r="AI38" i="26" s="1"/>
  <c r="AH38" i="26" a="1"/>
  <c r="AH38" i="26" s="1"/>
  <c r="AG38" i="26" a="1"/>
  <c r="AG38" i="26" s="1"/>
  <c r="AF38" i="26" a="1"/>
  <c r="AF38" i="26" s="1"/>
  <c r="BE37" i="26"/>
  <c r="BF37" i="26" s="1"/>
  <c r="AT37" i="26"/>
  <c r="AW37" i="26" s="1"/>
  <c r="AR37" i="26" a="1"/>
  <c r="AR37" i="26" s="1"/>
  <c r="AQ37" i="26" a="1"/>
  <c r="AQ37" i="26" s="1"/>
  <c r="AP37" i="26" a="1"/>
  <c r="AP37" i="26" s="1"/>
  <c r="AO37" i="26" a="1"/>
  <c r="AO37" i="26" s="1"/>
  <c r="AN37" i="26" a="1"/>
  <c r="AN37" i="26" s="1"/>
  <c r="AM37" i="26" a="1"/>
  <c r="AM37" i="26" s="1"/>
  <c r="AL37" i="26" a="1"/>
  <c r="AL37" i="26" s="1"/>
  <c r="AK37" i="26" a="1"/>
  <c r="AK37" i="26" s="1"/>
  <c r="AJ37" i="26" a="1"/>
  <c r="AJ37" i="26" s="1"/>
  <c r="AI37" i="26" a="1"/>
  <c r="AI37" i="26" s="1"/>
  <c r="AH37" i="26" a="1"/>
  <c r="AH37" i="26" s="1"/>
  <c r="AG37" i="26" a="1"/>
  <c r="AG37" i="26" s="1"/>
  <c r="AF37" i="26" a="1"/>
  <c r="AF37" i="26" s="1"/>
  <c r="AB37" i="26"/>
  <c r="BE36" i="26"/>
  <c r="BF36" i="26" s="1"/>
  <c r="AW36" i="26"/>
  <c r="AR36" i="26" a="1"/>
  <c r="AR36" i="26" s="1"/>
  <c r="AQ36" i="26" a="1"/>
  <c r="AQ36" i="26" s="1"/>
  <c r="AP36" i="26" a="1"/>
  <c r="AP36" i="26" s="1"/>
  <c r="AO36" i="26" a="1"/>
  <c r="AO36" i="26" s="1"/>
  <c r="AN36" i="26" a="1"/>
  <c r="AN36" i="26" s="1"/>
  <c r="AM36" i="26" a="1"/>
  <c r="AM36" i="26" s="1"/>
  <c r="AL36" i="26" a="1"/>
  <c r="AL36" i="26" s="1"/>
  <c r="AK36" i="26" a="1"/>
  <c r="AK36" i="26" s="1"/>
  <c r="AJ36" i="26" a="1"/>
  <c r="AJ36" i="26" s="1"/>
  <c r="AI36" i="26" a="1"/>
  <c r="AI36" i="26" s="1"/>
  <c r="AH36" i="26" a="1"/>
  <c r="AH36" i="26" s="1"/>
  <c r="AG36" i="26" a="1"/>
  <c r="AG36" i="26" s="1"/>
  <c r="AF36" i="26" a="1"/>
  <c r="AF36" i="26" s="1"/>
  <c r="BE35" i="26"/>
  <c r="BG35" i="26" s="1"/>
  <c r="BW35" i="26" s="1"/>
  <c r="AT35" i="26"/>
  <c r="AW35" i="26" s="1"/>
  <c r="AR35" i="26" a="1"/>
  <c r="AR35" i="26" s="1"/>
  <c r="AQ35" i="26" a="1"/>
  <c r="AQ35" i="26" s="1"/>
  <c r="AP35" i="26" a="1"/>
  <c r="AP35" i="26" s="1"/>
  <c r="AO35" i="26" a="1"/>
  <c r="AO35" i="26" s="1"/>
  <c r="AN35" i="26" a="1"/>
  <c r="AN35" i="26" s="1"/>
  <c r="AM35" i="26" a="1"/>
  <c r="AM35" i="26" s="1"/>
  <c r="AL35" i="26" a="1"/>
  <c r="AL35" i="26" s="1"/>
  <c r="AK35" i="26" a="1"/>
  <c r="AK35" i="26" s="1"/>
  <c r="AJ35" i="26" a="1"/>
  <c r="AJ35" i="26" s="1"/>
  <c r="AI35" i="26" a="1"/>
  <c r="AI35" i="26" s="1"/>
  <c r="AH35" i="26" a="1"/>
  <c r="AH35" i="26" s="1"/>
  <c r="AG35" i="26" a="1"/>
  <c r="AG35" i="26" s="1"/>
  <c r="AF35" i="26" a="1"/>
  <c r="AF35" i="26" s="1"/>
  <c r="AB35" i="26"/>
  <c r="BE34" i="26"/>
  <c r="BG34" i="26" s="1"/>
  <c r="BW34" i="26" s="1"/>
  <c r="AT34" i="26"/>
  <c r="AW34" i="26" s="1"/>
  <c r="AR34" i="26" a="1"/>
  <c r="AR34" i="26" s="1"/>
  <c r="AQ34" i="26" a="1"/>
  <c r="AQ34" i="26" s="1"/>
  <c r="AP34" i="26" a="1"/>
  <c r="AP34" i="26" s="1"/>
  <c r="AO34" i="26" a="1"/>
  <c r="AO34" i="26" s="1"/>
  <c r="AN34" i="26" a="1"/>
  <c r="AN34" i="26" s="1"/>
  <c r="AM34" i="26" a="1"/>
  <c r="AM34" i="26" s="1"/>
  <c r="AL34" i="26" a="1"/>
  <c r="AL34" i="26" s="1"/>
  <c r="AK34" i="26" a="1"/>
  <c r="AK34" i="26" s="1"/>
  <c r="AJ34" i="26" a="1"/>
  <c r="AJ34" i="26" s="1"/>
  <c r="AI34" i="26" a="1"/>
  <c r="AI34" i="26" s="1"/>
  <c r="AH34" i="26" a="1"/>
  <c r="AH34" i="26" s="1"/>
  <c r="AG34" i="26" a="1"/>
  <c r="AG34" i="26" s="1"/>
  <c r="AF34" i="26" a="1"/>
  <c r="AF34" i="26" s="1"/>
  <c r="AB34" i="26"/>
  <c r="BE33" i="26"/>
  <c r="AT33" i="26"/>
  <c r="AW33" i="26" s="1"/>
  <c r="AR33" i="26" a="1"/>
  <c r="AR33" i="26" s="1"/>
  <c r="AQ33" i="26" a="1"/>
  <c r="AQ33" i="26" s="1"/>
  <c r="AP33" i="26" a="1"/>
  <c r="AP33" i="26" s="1"/>
  <c r="AO33" i="26" a="1"/>
  <c r="AO33" i="26" s="1"/>
  <c r="AN33" i="26" a="1"/>
  <c r="AN33" i="26" s="1"/>
  <c r="AM33" i="26" a="1"/>
  <c r="AM33" i="26" s="1"/>
  <c r="AL33" i="26" a="1"/>
  <c r="AL33" i="26" s="1"/>
  <c r="AK33" i="26" a="1"/>
  <c r="AK33" i="26" s="1"/>
  <c r="AJ33" i="26" a="1"/>
  <c r="AJ33" i="26" s="1"/>
  <c r="AI33" i="26" a="1"/>
  <c r="AI33" i="26" s="1"/>
  <c r="AH33" i="26" a="1"/>
  <c r="AH33" i="26" s="1"/>
  <c r="AG33" i="26" a="1"/>
  <c r="AG33" i="26" s="1"/>
  <c r="AF33" i="26" a="1"/>
  <c r="AF33" i="26" s="1"/>
  <c r="AB33" i="26"/>
  <c r="BE32" i="26"/>
  <c r="BG32" i="26" s="1"/>
  <c r="BW32" i="26" s="1"/>
  <c r="AW32" i="26"/>
  <c r="AR32" i="26" a="1"/>
  <c r="AR32" i="26" s="1"/>
  <c r="AQ32" i="26" a="1"/>
  <c r="AQ32" i="26" s="1"/>
  <c r="AP32" i="26" a="1"/>
  <c r="AP32" i="26" s="1"/>
  <c r="AO32" i="26" a="1"/>
  <c r="AO32" i="26" s="1"/>
  <c r="AN32" i="26" a="1"/>
  <c r="AN32" i="26" s="1"/>
  <c r="AM32" i="26" a="1"/>
  <c r="AM32" i="26" s="1"/>
  <c r="AL32" i="26" a="1"/>
  <c r="AL32" i="26" s="1"/>
  <c r="AK32" i="26" a="1"/>
  <c r="AK32" i="26" s="1"/>
  <c r="AJ32" i="26" a="1"/>
  <c r="AJ32" i="26" s="1"/>
  <c r="AI32" i="26" a="1"/>
  <c r="AI32" i="26" s="1"/>
  <c r="AH32" i="26" a="1"/>
  <c r="AH32" i="26" s="1"/>
  <c r="AG32" i="26" a="1"/>
  <c r="AG32" i="26" s="1"/>
  <c r="AF32" i="26" a="1"/>
  <c r="AF32" i="26" s="1"/>
  <c r="BE31" i="26"/>
  <c r="BF31" i="26" s="1"/>
  <c r="AT31" i="26"/>
  <c r="AW31" i="26" s="1"/>
  <c r="AR31" i="26" a="1"/>
  <c r="AR31" i="26" s="1"/>
  <c r="AQ31" i="26" a="1"/>
  <c r="AQ31" i="26" s="1"/>
  <c r="AP31" i="26" a="1"/>
  <c r="AP31" i="26" s="1"/>
  <c r="AO31" i="26" a="1"/>
  <c r="AO31" i="26" s="1"/>
  <c r="AN31" i="26" a="1"/>
  <c r="AN31" i="26" s="1"/>
  <c r="AM31" i="26" a="1"/>
  <c r="AM31" i="26" s="1"/>
  <c r="AL31" i="26" a="1"/>
  <c r="AL31" i="26" s="1"/>
  <c r="AK31" i="26" a="1"/>
  <c r="AK31" i="26" s="1"/>
  <c r="AJ31" i="26" a="1"/>
  <c r="AJ31" i="26" s="1"/>
  <c r="AI31" i="26" a="1"/>
  <c r="AI31" i="26" s="1"/>
  <c r="AH31" i="26" a="1"/>
  <c r="AH31" i="26" s="1"/>
  <c r="AG31" i="26" a="1"/>
  <c r="AG31" i="26" s="1"/>
  <c r="AF31" i="26" a="1"/>
  <c r="AF31" i="26" s="1"/>
  <c r="AB31" i="26"/>
  <c r="BE30" i="26"/>
  <c r="BF30" i="26" s="1"/>
  <c r="AT30" i="26"/>
  <c r="AW30" i="26" s="1"/>
  <c r="AR30" i="26" a="1"/>
  <c r="AR30" i="26" s="1"/>
  <c r="AQ30" i="26" a="1"/>
  <c r="AQ30" i="26" s="1"/>
  <c r="AP30" i="26" a="1"/>
  <c r="AP30" i="26" s="1"/>
  <c r="AO30" i="26" a="1"/>
  <c r="AO30" i="26" s="1"/>
  <c r="AN30" i="26" a="1"/>
  <c r="AN30" i="26" s="1"/>
  <c r="AM30" i="26" a="1"/>
  <c r="AM30" i="26" s="1"/>
  <c r="AL30" i="26" a="1"/>
  <c r="AL30" i="26" s="1"/>
  <c r="AK30" i="26" a="1"/>
  <c r="AK30" i="26" s="1"/>
  <c r="AJ30" i="26" a="1"/>
  <c r="AJ30" i="26" s="1"/>
  <c r="AI30" i="26" a="1"/>
  <c r="AI30" i="26" s="1"/>
  <c r="AH30" i="26" a="1"/>
  <c r="AH30" i="26" s="1"/>
  <c r="AG30" i="26" a="1"/>
  <c r="AG30" i="26" s="1"/>
  <c r="AF30" i="26" a="1"/>
  <c r="AF30" i="26" s="1"/>
  <c r="AB30" i="26"/>
  <c r="BE29" i="26"/>
  <c r="BF29" i="26" s="1"/>
  <c r="AT29" i="26"/>
  <c r="AW29" i="26" s="1"/>
  <c r="AR29" i="26" a="1"/>
  <c r="AR29" i="26" s="1"/>
  <c r="AQ29" i="26" a="1"/>
  <c r="AQ29" i="26" s="1"/>
  <c r="AP29" i="26" a="1"/>
  <c r="AP29" i="26" s="1"/>
  <c r="AO29" i="26" a="1"/>
  <c r="AO29" i="26" s="1"/>
  <c r="AN29" i="26" a="1"/>
  <c r="AN29" i="26" s="1"/>
  <c r="AM29" i="26" a="1"/>
  <c r="AM29" i="26" s="1"/>
  <c r="AL29" i="26" a="1"/>
  <c r="AL29" i="26" s="1"/>
  <c r="AK29" i="26" a="1"/>
  <c r="AK29" i="26" s="1"/>
  <c r="AJ29" i="26" a="1"/>
  <c r="AJ29" i="26" s="1"/>
  <c r="AI29" i="26" a="1"/>
  <c r="AI29" i="26" s="1"/>
  <c r="AH29" i="26" a="1"/>
  <c r="AH29" i="26" s="1"/>
  <c r="AG29" i="26" a="1"/>
  <c r="AG29" i="26" s="1"/>
  <c r="AF29" i="26" a="1"/>
  <c r="AF29" i="26" s="1"/>
  <c r="AB29" i="26"/>
  <c r="BE28" i="26"/>
  <c r="AT28" i="26"/>
  <c r="AW28" i="26" s="1"/>
  <c r="AR28" i="26" a="1"/>
  <c r="AR28" i="26" s="1"/>
  <c r="AQ28" i="26" a="1"/>
  <c r="AQ28" i="26" s="1"/>
  <c r="AP28" i="26" a="1"/>
  <c r="AP28" i="26" s="1"/>
  <c r="AO28" i="26" a="1"/>
  <c r="AO28" i="26" s="1"/>
  <c r="AN28" i="26" a="1"/>
  <c r="AN28" i="26" s="1"/>
  <c r="AM28" i="26" a="1"/>
  <c r="AM28" i="26" s="1"/>
  <c r="AL28" i="26" a="1"/>
  <c r="AL28" i="26" s="1"/>
  <c r="AK28" i="26" a="1"/>
  <c r="AK28" i="26" s="1"/>
  <c r="AJ28" i="26" a="1"/>
  <c r="AJ28" i="26" s="1"/>
  <c r="AI28" i="26" a="1"/>
  <c r="AI28" i="26" s="1"/>
  <c r="AH28" i="26" a="1"/>
  <c r="AH28" i="26" s="1"/>
  <c r="AG28" i="26" a="1"/>
  <c r="AG28" i="26" s="1"/>
  <c r="AF28" i="26" a="1"/>
  <c r="AF28" i="26" s="1"/>
  <c r="AB28" i="26"/>
  <c r="BE27" i="26"/>
  <c r="AT27" i="26"/>
  <c r="AW27" i="26" s="1"/>
  <c r="AR27" i="26" a="1"/>
  <c r="AR27" i="26" s="1"/>
  <c r="AQ27" i="26" a="1"/>
  <c r="AQ27" i="26" s="1"/>
  <c r="AP27" i="26" a="1"/>
  <c r="AP27" i="26" s="1"/>
  <c r="AO27" i="26" a="1"/>
  <c r="AO27" i="26" s="1"/>
  <c r="AN27" i="26" a="1"/>
  <c r="AN27" i="26" s="1"/>
  <c r="AM27" i="26" a="1"/>
  <c r="AM27" i="26" s="1"/>
  <c r="AL27" i="26" a="1"/>
  <c r="AL27" i="26" s="1"/>
  <c r="AK27" i="26" a="1"/>
  <c r="AK27" i="26" s="1"/>
  <c r="AJ27" i="26" a="1"/>
  <c r="AJ27" i="26" s="1"/>
  <c r="AI27" i="26" a="1"/>
  <c r="AI27" i="26" s="1"/>
  <c r="AH27" i="26" a="1"/>
  <c r="AH27" i="26" s="1"/>
  <c r="AG27" i="26" a="1"/>
  <c r="AG27" i="26" s="1"/>
  <c r="AF27" i="26" a="1"/>
  <c r="AF27" i="26" s="1"/>
  <c r="AB27" i="26"/>
  <c r="BE26" i="26"/>
  <c r="AT26" i="26"/>
  <c r="AW26" i="26" s="1"/>
  <c r="AR26" i="26" a="1"/>
  <c r="AR26" i="26" s="1"/>
  <c r="AQ26" i="26" a="1"/>
  <c r="AQ26" i="26" s="1"/>
  <c r="AP26" i="26" a="1"/>
  <c r="AP26" i="26" s="1"/>
  <c r="AO26" i="26" a="1"/>
  <c r="AO26" i="26" s="1"/>
  <c r="AN26" i="26" a="1"/>
  <c r="AN26" i="26" s="1"/>
  <c r="AM26" i="26" a="1"/>
  <c r="AM26" i="26" s="1"/>
  <c r="AL26" i="26" a="1"/>
  <c r="AL26" i="26" s="1"/>
  <c r="AK26" i="26" a="1"/>
  <c r="AK26" i="26" s="1"/>
  <c r="AJ26" i="26" a="1"/>
  <c r="AJ26" i="26" s="1"/>
  <c r="AI26" i="26" a="1"/>
  <c r="AI26" i="26" s="1"/>
  <c r="AH26" i="26" a="1"/>
  <c r="AH26" i="26" s="1"/>
  <c r="AG26" i="26" a="1"/>
  <c r="AG26" i="26" s="1"/>
  <c r="AF26" i="26" a="1"/>
  <c r="AF26" i="26" s="1"/>
  <c r="AB26" i="26"/>
  <c r="BE25" i="26"/>
  <c r="BF25" i="26" s="1"/>
  <c r="AT25" i="26"/>
  <c r="AW25" i="26" s="1"/>
  <c r="AR25" i="26" a="1"/>
  <c r="AR25" i="26" s="1"/>
  <c r="AQ25" i="26" a="1"/>
  <c r="AQ25" i="26" s="1"/>
  <c r="AP25" i="26" a="1"/>
  <c r="AP25" i="26" s="1"/>
  <c r="AO25" i="26" a="1"/>
  <c r="AO25" i="26" s="1"/>
  <c r="AN25" i="26" a="1"/>
  <c r="AN25" i="26" s="1"/>
  <c r="AM25" i="26" a="1"/>
  <c r="AM25" i="26" s="1"/>
  <c r="AL25" i="26" a="1"/>
  <c r="AL25" i="26" s="1"/>
  <c r="AK25" i="26" a="1"/>
  <c r="AK25" i="26" s="1"/>
  <c r="AJ25" i="26" a="1"/>
  <c r="AJ25" i="26" s="1"/>
  <c r="AI25" i="26" a="1"/>
  <c r="AI25" i="26" s="1"/>
  <c r="AH25" i="26" a="1"/>
  <c r="AH25" i="26" s="1"/>
  <c r="AG25" i="26" a="1"/>
  <c r="AG25" i="26" s="1"/>
  <c r="AF25" i="26" a="1"/>
  <c r="AF25" i="26" s="1"/>
  <c r="AB25" i="26"/>
  <c r="BE24" i="26"/>
  <c r="BG24" i="26" s="1"/>
  <c r="BW24" i="26" s="1"/>
  <c r="AT24" i="26"/>
  <c r="AW24" i="26" s="1"/>
  <c r="AR24" i="26" a="1"/>
  <c r="AR24" i="26" s="1"/>
  <c r="AQ24" i="26" a="1"/>
  <c r="AQ24" i="26" s="1"/>
  <c r="AP24" i="26" a="1"/>
  <c r="AP24" i="26" s="1"/>
  <c r="AO24" i="26" a="1"/>
  <c r="AO24" i="26" s="1"/>
  <c r="AN24" i="26" a="1"/>
  <c r="AN24" i="26" s="1"/>
  <c r="AM24" i="26" a="1"/>
  <c r="AM24" i="26" s="1"/>
  <c r="AL24" i="26" a="1"/>
  <c r="AL24" i="26" s="1"/>
  <c r="AK24" i="26" a="1"/>
  <c r="AK24" i="26" s="1"/>
  <c r="AJ24" i="26" a="1"/>
  <c r="AJ24" i="26" s="1"/>
  <c r="AI24" i="26" a="1"/>
  <c r="AI24" i="26" s="1"/>
  <c r="AH24" i="26" a="1"/>
  <c r="AH24" i="26" s="1"/>
  <c r="AG24" i="26" a="1"/>
  <c r="AG24" i="26" s="1"/>
  <c r="AF24" i="26" a="1"/>
  <c r="AF24" i="26" s="1"/>
  <c r="AB24" i="26"/>
  <c r="BE23" i="26"/>
  <c r="AT23" i="26"/>
  <c r="AW23" i="26" s="1"/>
  <c r="AR23" i="26" a="1"/>
  <c r="AR23" i="26" s="1"/>
  <c r="AQ23" i="26" a="1"/>
  <c r="AQ23" i="26" s="1"/>
  <c r="AP23" i="26" a="1"/>
  <c r="AP23" i="26" s="1"/>
  <c r="AO23" i="26" a="1"/>
  <c r="AO23" i="26" s="1"/>
  <c r="AN23" i="26" a="1"/>
  <c r="AN23" i="26" s="1"/>
  <c r="AM23" i="26" a="1"/>
  <c r="AM23" i="26" s="1"/>
  <c r="AL23" i="26" a="1"/>
  <c r="AL23" i="26" s="1"/>
  <c r="AK23" i="26" a="1"/>
  <c r="AK23" i="26" s="1"/>
  <c r="AJ23" i="26" a="1"/>
  <c r="AJ23" i="26" s="1"/>
  <c r="AI23" i="26" a="1"/>
  <c r="AI23" i="26" s="1"/>
  <c r="AH23" i="26" a="1"/>
  <c r="AH23" i="26" s="1"/>
  <c r="AG23" i="26" a="1"/>
  <c r="AG23" i="26" s="1"/>
  <c r="AF23" i="26" a="1"/>
  <c r="AF23" i="26" s="1"/>
  <c r="AB23" i="26"/>
  <c r="BE22" i="26"/>
  <c r="AT22" i="26"/>
  <c r="AW22" i="26" s="1"/>
  <c r="AR22" i="26" a="1"/>
  <c r="AR22" i="26" s="1"/>
  <c r="AQ22" i="26" a="1"/>
  <c r="AQ22" i="26" s="1"/>
  <c r="AP22" i="26" a="1"/>
  <c r="AP22" i="26" s="1"/>
  <c r="AO22" i="26" a="1"/>
  <c r="AO22" i="26" s="1"/>
  <c r="AN22" i="26" a="1"/>
  <c r="AN22" i="26" s="1"/>
  <c r="AM22" i="26" a="1"/>
  <c r="AM22" i="26" s="1"/>
  <c r="AL22" i="26" a="1"/>
  <c r="AL22" i="26" s="1"/>
  <c r="AK22" i="26" a="1"/>
  <c r="AK22" i="26" s="1"/>
  <c r="AJ22" i="26" a="1"/>
  <c r="AJ22" i="26" s="1"/>
  <c r="AI22" i="26" a="1"/>
  <c r="AI22" i="26" s="1"/>
  <c r="AH22" i="26" a="1"/>
  <c r="AH22" i="26" s="1"/>
  <c r="AG22" i="26" a="1"/>
  <c r="AG22" i="26" s="1"/>
  <c r="AF22" i="26" a="1"/>
  <c r="AF22" i="26" s="1"/>
  <c r="AB22" i="26"/>
  <c r="BE21" i="26"/>
  <c r="BG21" i="26" s="1"/>
  <c r="BW21" i="26" s="1"/>
  <c r="AT21" i="26"/>
  <c r="AW21" i="26" s="1"/>
  <c r="AR21" i="26" a="1"/>
  <c r="AR21" i="26" s="1"/>
  <c r="AQ21" i="26" a="1"/>
  <c r="AQ21" i="26" s="1"/>
  <c r="AP21" i="26" a="1"/>
  <c r="AP21" i="26" s="1"/>
  <c r="AO21" i="26" a="1"/>
  <c r="AO21" i="26" s="1"/>
  <c r="AN21" i="26" a="1"/>
  <c r="AN21" i="26" s="1"/>
  <c r="AM21" i="26" a="1"/>
  <c r="AM21" i="26" s="1"/>
  <c r="AL21" i="26" a="1"/>
  <c r="AL21" i="26" s="1"/>
  <c r="AK21" i="26" a="1"/>
  <c r="AK21" i="26" s="1"/>
  <c r="AJ21" i="26" a="1"/>
  <c r="AJ21" i="26" s="1"/>
  <c r="AI21" i="26" a="1"/>
  <c r="AI21" i="26" s="1"/>
  <c r="AH21" i="26" a="1"/>
  <c r="AH21" i="26" s="1"/>
  <c r="AG21" i="26" a="1"/>
  <c r="AG21" i="26" s="1"/>
  <c r="AF21" i="26" a="1"/>
  <c r="AF21" i="26" s="1"/>
  <c r="AB21" i="26"/>
  <c r="BE20" i="26"/>
  <c r="BG20" i="26" s="1"/>
  <c r="BW20" i="26" s="1"/>
  <c r="AW20" i="26"/>
  <c r="AR20" i="26" a="1"/>
  <c r="AR20" i="26" s="1"/>
  <c r="AQ20" i="26" a="1"/>
  <c r="AQ20" i="26" s="1"/>
  <c r="AP20" i="26" a="1"/>
  <c r="AP20" i="26" s="1"/>
  <c r="AO20" i="26" a="1"/>
  <c r="AO20" i="26" s="1"/>
  <c r="AN20" i="26" a="1"/>
  <c r="AN20" i="26" s="1"/>
  <c r="AM20" i="26" a="1"/>
  <c r="AM20" i="26" s="1"/>
  <c r="AL20" i="26" a="1"/>
  <c r="AL20" i="26" s="1"/>
  <c r="AK20" i="26" a="1"/>
  <c r="AK20" i="26" s="1"/>
  <c r="AJ20" i="26" a="1"/>
  <c r="AJ20" i="26" s="1"/>
  <c r="AI20" i="26" a="1"/>
  <c r="AI20" i="26" s="1"/>
  <c r="AH20" i="26" a="1"/>
  <c r="AH20" i="26" s="1"/>
  <c r="AG20" i="26" a="1"/>
  <c r="AG20" i="26" s="1"/>
  <c r="AF20" i="26" a="1"/>
  <c r="AF20" i="26" s="1"/>
  <c r="BE19" i="26"/>
  <c r="AT19" i="26"/>
  <c r="AW19" i="26" s="1"/>
  <c r="AR19" i="26" a="1"/>
  <c r="AR19" i="26" s="1"/>
  <c r="AQ19" i="26" a="1"/>
  <c r="AQ19" i="26" s="1"/>
  <c r="AP19" i="26" a="1"/>
  <c r="AP19" i="26" s="1"/>
  <c r="AO19" i="26" a="1"/>
  <c r="AO19" i="26" s="1"/>
  <c r="AN19" i="26" a="1"/>
  <c r="AN19" i="26" s="1"/>
  <c r="AM19" i="26" a="1"/>
  <c r="AM19" i="26" s="1"/>
  <c r="AL19" i="26" a="1"/>
  <c r="AL19" i="26" s="1"/>
  <c r="AK19" i="26" a="1"/>
  <c r="AK19" i="26" s="1"/>
  <c r="AJ19" i="26" a="1"/>
  <c r="AJ19" i="26" s="1"/>
  <c r="AI19" i="26" a="1"/>
  <c r="AI19" i="26" s="1"/>
  <c r="AH19" i="26" a="1"/>
  <c r="AH19" i="26" s="1"/>
  <c r="AG19" i="26" a="1"/>
  <c r="AG19" i="26" s="1"/>
  <c r="AF19" i="26" a="1"/>
  <c r="AF19" i="26" s="1"/>
  <c r="AB19" i="26"/>
  <c r="BE18" i="26"/>
  <c r="BG18" i="26" s="1"/>
  <c r="BW18" i="26" s="1"/>
  <c r="AT18" i="26"/>
  <c r="AW18" i="26" s="1"/>
  <c r="AR18" i="26" a="1"/>
  <c r="AR18" i="26" s="1"/>
  <c r="AQ18" i="26" a="1"/>
  <c r="AQ18" i="26" s="1"/>
  <c r="AP18" i="26" a="1"/>
  <c r="AP18" i="26" s="1"/>
  <c r="AO18" i="26" a="1"/>
  <c r="AO18" i="26" s="1"/>
  <c r="AN18" i="26" a="1"/>
  <c r="AN18" i="26" s="1"/>
  <c r="AM18" i="26" a="1"/>
  <c r="AM18" i="26" s="1"/>
  <c r="AL18" i="26" a="1"/>
  <c r="AL18" i="26" s="1"/>
  <c r="AK18" i="26" a="1"/>
  <c r="AK18" i="26" s="1"/>
  <c r="AJ18" i="26" a="1"/>
  <c r="AJ18" i="26" s="1"/>
  <c r="AI18" i="26" a="1"/>
  <c r="AI18" i="26" s="1"/>
  <c r="AH18" i="26" a="1"/>
  <c r="AH18" i="26" s="1"/>
  <c r="AG18" i="26" a="1"/>
  <c r="AG18" i="26" s="1"/>
  <c r="AF18" i="26" a="1"/>
  <c r="AF18" i="26" s="1"/>
  <c r="AB18" i="26"/>
  <c r="BE17" i="26"/>
  <c r="AT17" i="26"/>
  <c r="AW17" i="26" s="1"/>
  <c r="AR17" i="26" a="1"/>
  <c r="AR17" i="26" s="1"/>
  <c r="AQ17" i="26" a="1"/>
  <c r="AQ17" i="26" s="1"/>
  <c r="AP17" i="26" a="1"/>
  <c r="AP17" i="26" s="1"/>
  <c r="AO17" i="26" a="1"/>
  <c r="AO17" i="26" s="1"/>
  <c r="AN17" i="26" a="1"/>
  <c r="AN17" i="26" s="1"/>
  <c r="AM17" i="26" a="1"/>
  <c r="AM17" i="26" s="1"/>
  <c r="AL17" i="26" a="1"/>
  <c r="AL17" i="26" s="1"/>
  <c r="AK17" i="26" a="1"/>
  <c r="AK17" i="26" s="1"/>
  <c r="AJ17" i="26" a="1"/>
  <c r="AJ17" i="26" s="1"/>
  <c r="AI17" i="26" a="1"/>
  <c r="AI17" i="26" s="1"/>
  <c r="AH17" i="26" a="1"/>
  <c r="AH17" i="26" s="1"/>
  <c r="AG17" i="26" a="1"/>
  <c r="AG17" i="26" s="1"/>
  <c r="AF17" i="26" a="1"/>
  <c r="AF17" i="26" s="1"/>
  <c r="AB17" i="26"/>
  <c r="BE16" i="26"/>
  <c r="BG16" i="26" s="1"/>
  <c r="BW16" i="26" s="1"/>
  <c r="AT16" i="26"/>
  <c r="AW16" i="26" s="1"/>
  <c r="AR16" i="26" a="1"/>
  <c r="AR16" i="26" s="1"/>
  <c r="AQ16" i="26" a="1"/>
  <c r="AQ16" i="26" s="1"/>
  <c r="AP16" i="26" a="1"/>
  <c r="AP16" i="26" s="1"/>
  <c r="AO16" i="26" a="1"/>
  <c r="AO16" i="26" s="1"/>
  <c r="AN16" i="26" a="1"/>
  <c r="AN16" i="26" s="1"/>
  <c r="AM16" i="26" a="1"/>
  <c r="AM16" i="26" s="1"/>
  <c r="AL16" i="26" a="1"/>
  <c r="AL16" i="26" s="1"/>
  <c r="AK16" i="26" a="1"/>
  <c r="AK16" i="26" s="1"/>
  <c r="AJ16" i="26" a="1"/>
  <c r="AJ16" i="26" s="1"/>
  <c r="AI16" i="26" a="1"/>
  <c r="AI16" i="26" s="1"/>
  <c r="AH16" i="26" a="1"/>
  <c r="AH16" i="26" s="1"/>
  <c r="AG16" i="26" a="1"/>
  <c r="AG16" i="26" s="1"/>
  <c r="AF16" i="26" a="1"/>
  <c r="AF16" i="26" s="1"/>
  <c r="AB16" i="26"/>
  <c r="BE15" i="26"/>
  <c r="AT15" i="26"/>
  <c r="AW15" i="26" s="1"/>
  <c r="AR15" i="26" a="1"/>
  <c r="AR15" i="26" s="1"/>
  <c r="AQ15" i="26" a="1"/>
  <c r="AQ15" i="26" s="1"/>
  <c r="AP15" i="26" a="1"/>
  <c r="AP15" i="26" s="1"/>
  <c r="AO15" i="26" a="1"/>
  <c r="AO15" i="26" s="1"/>
  <c r="AN15" i="26" a="1"/>
  <c r="AN15" i="26" s="1"/>
  <c r="AM15" i="26" a="1"/>
  <c r="AM15" i="26" s="1"/>
  <c r="AL15" i="26" a="1"/>
  <c r="AL15" i="26" s="1"/>
  <c r="AK15" i="26" a="1"/>
  <c r="AK15" i="26" s="1"/>
  <c r="AJ15" i="26" a="1"/>
  <c r="AJ15" i="26" s="1"/>
  <c r="AI15" i="26" a="1"/>
  <c r="AI15" i="26" s="1"/>
  <c r="AH15" i="26" a="1"/>
  <c r="AH15" i="26" s="1"/>
  <c r="AG15" i="26" a="1"/>
  <c r="AG15" i="26" s="1"/>
  <c r="AF15" i="26" a="1"/>
  <c r="AF15" i="26" s="1"/>
  <c r="AB15" i="26"/>
  <c r="BE14" i="26"/>
  <c r="AT14" i="26"/>
  <c r="AW14" i="26" s="1"/>
  <c r="AR14" i="26" a="1"/>
  <c r="AR14" i="26" s="1"/>
  <c r="AQ14" i="26" a="1"/>
  <c r="AQ14" i="26" s="1"/>
  <c r="AP14" i="26" a="1"/>
  <c r="AP14" i="26" s="1"/>
  <c r="AO14" i="26" a="1"/>
  <c r="AO14" i="26" s="1"/>
  <c r="AN14" i="26" a="1"/>
  <c r="AN14" i="26" s="1"/>
  <c r="AM14" i="26" a="1"/>
  <c r="AM14" i="26" s="1"/>
  <c r="AL14" i="26" a="1"/>
  <c r="AL14" i="26" s="1"/>
  <c r="AK14" i="26" a="1"/>
  <c r="AK14" i="26" s="1"/>
  <c r="AJ14" i="26" a="1"/>
  <c r="AJ14" i="26" s="1"/>
  <c r="AI14" i="26" a="1"/>
  <c r="AI14" i="26" s="1"/>
  <c r="AH14" i="26" a="1"/>
  <c r="AH14" i="26" s="1"/>
  <c r="AG14" i="26" a="1"/>
  <c r="AG14" i="26" s="1"/>
  <c r="AF14" i="26" a="1"/>
  <c r="AF14" i="26" s="1"/>
  <c r="AB14" i="26"/>
  <c r="BE13" i="26"/>
  <c r="BF13" i="26" s="1"/>
  <c r="AW13" i="26"/>
  <c r="AR13" i="26" a="1"/>
  <c r="AR13" i="26" s="1"/>
  <c r="AQ13" i="26" a="1"/>
  <c r="AQ13" i="26" s="1"/>
  <c r="AP13" i="26" a="1"/>
  <c r="AP13" i="26" s="1"/>
  <c r="AO13" i="26" a="1"/>
  <c r="AO13" i="26" s="1"/>
  <c r="AN13" i="26" a="1"/>
  <c r="AN13" i="26" s="1"/>
  <c r="AM13" i="26" a="1"/>
  <c r="AM13" i="26" s="1"/>
  <c r="AL13" i="26" a="1"/>
  <c r="AL13" i="26" s="1"/>
  <c r="AK13" i="26" a="1"/>
  <c r="AK13" i="26" s="1"/>
  <c r="AJ13" i="26" a="1"/>
  <c r="AJ13" i="26" s="1"/>
  <c r="AI13" i="26" a="1"/>
  <c r="AI13" i="26" s="1"/>
  <c r="AH13" i="26" a="1"/>
  <c r="AH13" i="26" s="1"/>
  <c r="AG13" i="26" a="1"/>
  <c r="AG13" i="26" s="1"/>
  <c r="AF13" i="26" a="1"/>
  <c r="AF13" i="26" s="1"/>
  <c r="BE12" i="26"/>
  <c r="BF12" i="26" s="1"/>
  <c r="AT12" i="26"/>
  <c r="AW12" i="26" s="1"/>
  <c r="AR12" i="26" a="1"/>
  <c r="AR12" i="26" s="1"/>
  <c r="AQ12" i="26" a="1"/>
  <c r="AQ12" i="26" s="1"/>
  <c r="AP12" i="26" a="1"/>
  <c r="AP12" i="26" s="1"/>
  <c r="AO12" i="26" a="1"/>
  <c r="AO12" i="26" s="1"/>
  <c r="AN12" i="26" a="1"/>
  <c r="AN12" i="26" s="1"/>
  <c r="AL12" i="26" a="1"/>
  <c r="AL12" i="26" s="1"/>
  <c r="AK12" i="26" a="1"/>
  <c r="AK12" i="26" s="1"/>
  <c r="AJ12" i="26" a="1"/>
  <c r="AJ12" i="26" s="1"/>
  <c r="AI12" i="26" a="1"/>
  <c r="AI12" i="26" s="1"/>
  <c r="AH12" i="26" a="1"/>
  <c r="AH12" i="26" s="1"/>
  <c r="AG12" i="26" a="1"/>
  <c r="AG12" i="26" s="1"/>
  <c r="AF12" i="26" a="1"/>
  <c r="AF12" i="26" s="1"/>
  <c r="AB12" i="26"/>
  <c r="BE11" i="26"/>
  <c r="BG11" i="26" s="1"/>
  <c r="BW11" i="26" s="1"/>
  <c r="AT11" i="26"/>
  <c r="AW11" i="26" s="1"/>
  <c r="AR11" i="26" a="1"/>
  <c r="AR11" i="26" s="1"/>
  <c r="AQ11" i="26" a="1"/>
  <c r="AQ11" i="26" s="1"/>
  <c r="AP11" i="26" a="1"/>
  <c r="AP11" i="26" s="1"/>
  <c r="AO11" i="26" a="1"/>
  <c r="AO11" i="26" s="1"/>
  <c r="AN11" i="26" a="1"/>
  <c r="AN11" i="26" s="1"/>
  <c r="AM11" i="26" a="1"/>
  <c r="AM11" i="26" s="1"/>
  <c r="AL11" i="26" a="1"/>
  <c r="AL11" i="26" s="1"/>
  <c r="AK11" i="26" a="1"/>
  <c r="AK11" i="26" s="1"/>
  <c r="AJ11" i="26" a="1"/>
  <c r="AJ11" i="26" s="1"/>
  <c r="AI11" i="26" a="1"/>
  <c r="AI11" i="26" s="1"/>
  <c r="AH11" i="26" a="1"/>
  <c r="AH11" i="26" s="1"/>
  <c r="AG11" i="26" a="1"/>
  <c r="AG11" i="26" s="1"/>
  <c r="AF11" i="26" a="1"/>
  <c r="AF11" i="26" s="1"/>
  <c r="AB11" i="26"/>
  <c r="BE10" i="26"/>
  <c r="AT10" i="26"/>
  <c r="AW10" i="26" s="1"/>
  <c r="AR10" i="26" a="1"/>
  <c r="AR10" i="26" s="1"/>
  <c r="AQ10" i="26" a="1"/>
  <c r="AQ10" i="26" s="1"/>
  <c r="AP10" i="26" a="1"/>
  <c r="AP10" i="26" s="1"/>
  <c r="AO10" i="26" a="1"/>
  <c r="AO10" i="26" s="1"/>
  <c r="AN10" i="26" a="1"/>
  <c r="AN10" i="26" s="1"/>
  <c r="AM10" i="26" a="1"/>
  <c r="AM10" i="26" s="1"/>
  <c r="AL10" i="26" a="1"/>
  <c r="AL10" i="26" s="1"/>
  <c r="AK10" i="26" a="1"/>
  <c r="AK10" i="26" s="1"/>
  <c r="AJ10" i="26" a="1"/>
  <c r="AJ10" i="26" s="1"/>
  <c r="AI10" i="26" a="1"/>
  <c r="AI10" i="26" s="1"/>
  <c r="AH10" i="26" a="1"/>
  <c r="AH10" i="26" s="1"/>
  <c r="AG10" i="26" a="1"/>
  <c r="AG10" i="26" s="1"/>
  <c r="AF10" i="26" a="1"/>
  <c r="AF10" i="26" s="1"/>
  <c r="AB10" i="26"/>
  <c r="BE9" i="26"/>
  <c r="AW9" i="26"/>
  <c r="AR9" i="26" a="1"/>
  <c r="AR9" i="26" s="1"/>
  <c r="AQ9" i="26" a="1"/>
  <c r="AQ9" i="26" s="1"/>
  <c r="AP9" i="26" a="1"/>
  <c r="AP9" i="26" s="1"/>
  <c r="AO9" i="26" a="1"/>
  <c r="AO9" i="26" s="1"/>
  <c r="AN9" i="26" a="1"/>
  <c r="AN9" i="26" s="1"/>
  <c r="AM9" i="26" a="1"/>
  <c r="AM9" i="26" s="1"/>
  <c r="AL9" i="26" a="1"/>
  <c r="AL9" i="26" s="1"/>
  <c r="AK9" i="26" a="1"/>
  <c r="AK9" i="26" s="1"/>
  <c r="AJ9" i="26" a="1"/>
  <c r="AJ9" i="26" s="1"/>
  <c r="AI9" i="26" a="1"/>
  <c r="AI9" i="26" s="1"/>
  <c r="AH9" i="26" a="1"/>
  <c r="AH9" i="26" s="1"/>
  <c r="AG9" i="26" a="1"/>
  <c r="AG9" i="26" s="1"/>
  <c r="AF9" i="26" a="1"/>
  <c r="AF9" i="26" s="1"/>
  <c r="BE8" i="26"/>
  <c r="BF8" i="26" s="1"/>
  <c r="AT8" i="26"/>
  <c r="AW8" i="26" s="1"/>
  <c r="AR8" i="26" a="1"/>
  <c r="AR8" i="26" s="1"/>
  <c r="AQ8" i="26" a="1"/>
  <c r="AQ8" i="26" s="1"/>
  <c r="AP8" i="26" a="1"/>
  <c r="AP8" i="26" s="1"/>
  <c r="AO8" i="26" a="1"/>
  <c r="AO8" i="26" s="1"/>
  <c r="AN8" i="26" a="1"/>
  <c r="AN8" i="26" s="1"/>
  <c r="AM8" i="26" a="1"/>
  <c r="AM8" i="26" s="1"/>
  <c r="AL8" i="26" a="1"/>
  <c r="AL8" i="26" s="1"/>
  <c r="AK8" i="26" a="1"/>
  <c r="AK8" i="26" s="1"/>
  <c r="AJ8" i="26" a="1"/>
  <c r="AJ8" i="26" s="1"/>
  <c r="AI8" i="26" a="1"/>
  <c r="AI8" i="26" s="1"/>
  <c r="AH8" i="26" a="1"/>
  <c r="AH8" i="26" s="1"/>
  <c r="AG8" i="26" a="1"/>
  <c r="AG8" i="26" s="1"/>
  <c r="AF8" i="26" a="1"/>
  <c r="AF8" i="26" s="1"/>
  <c r="AB8" i="26"/>
  <c r="BE7" i="26"/>
  <c r="BF7" i="26" s="1"/>
  <c r="AW7" i="26"/>
  <c r="AR7" i="26" a="1"/>
  <c r="AR7" i="26" s="1"/>
  <c r="AQ7" i="26" a="1"/>
  <c r="AQ7" i="26" s="1"/>
  <c r="AP7" i="26" a="1"/>
  <c r="AP7" i="26" s="1"/>
  <c r="AO7" i="26" a="1"/>
  <c r="AO7" i="26" s="1"/>
  <c r="AN7" i="26" a="1"/>
  <c r="AN7" i="26" s="1"/>
  <c r="AM7" i="26" a="1"/>
  <c r="AM7" i="26" s="1"/>
  <c r="AL7" i="26" a="1"/>
  <c r="AL7" i="26" s="1"/>
  <c r="AK7" i="26" a="1"/>
  <c r="AK7" i="26" s="1"/>
  <c r="AJ7" i="26" a="1"/>
  <c r="AJ7" i="26" s="1"/>
  <c r="AI7" i="26" a="1"/>
  <c r="AI7" i="26" s="1"/>
  <c r="AH7" i="26" a="1"/>
  <c r="AH7" i="26" s="1"/>
  <c r="AG7" i="26" a="1"/>
  <c r="AG7" i="26" s="1"/>
  <c r="AF7" i="26" a="1"/>
  <c r="AF7" i="26" s="1"/>
  <c r="BE6" i="26"/>
  <c r="BG6" i="26" s="1"/>
  <c r="BW6" i="26" s="1"/>
  <c r="AW6" i="26"/>
  <c r="AR6" i="26" a="1"/>
  <c r="AR6" i="26" s="1"/>
  <c r="AQ6" i="26" a="1"/>
  <c r="AQ6" i="26" s="1"/>
  <c r="AP6" i="26" a="1"/>
  <c r="AP6" i="26" s="1"/>
  <c r="AO6" i="26" a="1"/>
  <c r="AO6" i="26" s="1"/>
  <c r="AN6" i="26" a="1"/>
  <c r="AN6" i="26" s="1"/>
  <c r="AM6" i="26" a="1"/>
  <c r="AM6" i="26" s="1"/>
  <c r="AL6" i="26" a="1"/>
  <c r="AL6" i="26" s="1"/>
  <c r="AK6" i="26" a="1"/>
  <c r="AK6" i="26" s="1"/>
  <c r="AJ6" i="26" a="1"/>
  <c r="AJ6" i="26" s="1"/>
  <c r="AI6" i="26" a="1"/>
  <c r="AI6" i="26" s="1"/>
  <c r="AH6" i="26" a="1"/>
  <c r="AH6" i="26" s="1"/>
  <c r="AG6" i="26" a="1"/>
  <c r="AG6" i="26" s="1"/>
  <c r="AF6" i="26" a="1"/>
  <c r="AF6" i="26" s="1"/>
  <c r="BE5" i="26"/>
  <c r="BG5" i="26" s="1"/>
  <c r="BW5" i="26" s="1"/>
  <c r="AR5" i="26" a="1"/>
  <c r="AR5" i="26" s="1"/>
  <c r="AQ5" i="26" a="1"/>
  <c r="AQ5" i="26" s="1"/>
  <c r="AP5" i="26" a="1"/>
  <c r="AP5" i="26" s="1"/>
  <c r="AO5" i="26" a="1"/>
  <c r="AO5" i="26" s="1"/>
  <c r="AN5" i="26" a="1"/>
  <c r="AN5" i="26" s="1"/>
  <c r="AM5" i="26" a="1"/>
  <c r="AM5" i="26" s="1"/>
  <c r="AL5" i="26" a="1"/>
  <c r="AL5" i="26" s="1"/>
  <c r="AK5" i="26" a="1"/>
  <c r="AK5" i="26" s="1"/>
  <c r="AJ5" i="26" a="1"/>
  <c r="AJ5" i="26" s="1"/>
  <c r="AI5" i="26" a="1"/>
  <c r="AI5" i="26" s="1"/>
  <c r="AH5" i="26" a="1"/>
  <c r="AH5" i="26" s="1"/>
  <c r="AG5" i="26" a="1"/>
  <c r="AG5" i="26" s="1"/>
  <c r="AF5" i="26" a="1"/>
  <c r="AF5" i="26" s="1"/>
  <c r="BX181" i="26" l="1"/>
  <c r="AW40" i="26"/>
  <c r="AW58" i="26"/>
  <c r="AW57" i="26"/>
  <c r="AW59" i="26"/>
  <c r="AW60" i="26"/>
  <c r="AW76" i="26"/>
  <c r="AW77" i="26"/>
  <c r="AW78" i="26"/>
  <c r="AW90" i="26"/>
  <c r="AW101" i="26"/>
  <c r="AW56" i="26"/>
  <c r="AW87" i="26"/>
  <c r="AW88" i="26"/>
  <c r="AW89" i="26"/>
  <c r="AW122" i="26"/>
  <c r="AW103" i="26"/>
  <c r="AW104" i="26"/>
  <c r="AW38" i="26"/>
  <c r="AW94" i="26"/>
  <c r="AW61" i="26"/>
  <c r="AW95" i="26"/>
  <c r="AW93" i="26"/>
  <c r="AW62" i="26"/>
  <c r="AW65" i="26"/>
  <c r="AW91" i="26"/>
  <c r="AW92" i="26"/>
  <c r="AW96" i="26"/>
  <c r="AW75" i="26"/>
  <c r="AW100" i="26"/>
  <c r="AW85" i="26"/>
  <c r="AW81" i="26"/>
  <c r="AW82" i="26"/>
  <c r="AW86" i="26"/>
  <c r="BB4" i="27"/>
  <c r="BC33" i="27"/>
  <c r="BC2" i="27"/>
  <c r="BC12" i="27"/>
  <c r="BB21" i="27"/>
  <c r="BB20" i="27"/>
  <c r="BC27" i="27"/>
  <c r="BC26" i="27"/>
  <c r="AS24" i="27"/>
  <c r="AV24" i="27" s="1"/>
  <c r="AW24" i="27" s="1"/>
  <c r="BO24" i="27" s="1"/>
  <c r="BQ23" i="27" s="1"/>
  <c r="AS36" i="27"/>
  <c r="AV36" i="27" s="1"/>
  <c r="AW36" i="27" s="1"/>
  <c r="BO36" i="27" s="1"/>
  <c r="BQ35" i="27" s="1"/>
  <c r="AS30" i="27"/>
  <c r="AV30" i="27" s="1"/>
  <c r="AW30" i="27" s="1"/>
  <c r="BO30" i="27" s="1"/>
  <c r="BQ29" i="27" s="1"/>
  <c r="AS11" i="27"/>
  <c r="AV11" i="27" s="1"/>
  <c r="AW11" i="27" s="1"/>
  <c r="BK11" i="27" s="1"/>
  <c r="BC23" i="27"/>
  <c r="AS44" i="27"/>
  <c r="AV44" i="27" s="1"/>
  <c r="AW44" i="27" s="1"/>
  <c r="BO44" i="27" s="1"/>
  <c r="BQ43" i="27" s="1"/>
  <c r="AS4" i="27"/>
  <c r="AV4" i="27" s="1"/>
  <c r="AW4" i="27" s="1"/>
  <c r="BO4" i="27" s="1"/>
  <c r="BQ3" i="27" s="1"/>
  <c r="BB7" i="27"/>
  <c r="BB34" i="27"/>
  <c r="BB10" i="27"/>
  <c r="BC10" i="27"/>
  <c r="BB3" i="27"/>
  <c r="AS25" i="27"/>
  <c r="AV25" i="27" s="1"/>
  <c r="AW25" i="27" s="1"/>
  <c r="BK25" i="27" s="1"/>
  <c r="BB25" i="27"/>
  <c r="AS7" i="27"/>
  <c r="AV7" i="27" s="1"/>
  <c r="AW7" i="27" s="1"/>
  <c r="BO7" i="27" s="1"/>
  <c r="BQ6" i="27" s="1"/>
  <c r="AS10" i="27"/>
  <c r="AV10" i="27" s="1"/>
  <c r="AW10" i="27" s="1"/>
  <c r="BO10" i="27" s="1"/>
  <c r="BQ9" i="27" s="1"/>
  <c r="BB17" i="27"/>
  <c r="AS15" i="27"/>
  <c r="AV15" i="27" s="1"/>
  <c r="AW15" i="27" s="1"/>
  <c r="BO15" i="27" s="1"/>
  <c r="BQ14" i="27" s="1"/>
  <c r="AS5" i="27"/>
  <c r="AV5" i="27" s="1"/>
  <c r="AW5" i="27" s="1"/>
  <c r="BO5" i="27" s="1"/>
  <c r="BQ4" i="27" s="1"/>
  <c r="AS2" i="27"/>
  <c r="AV2" i="27" s="1"/>
  <c r="AW2" i="27" s="1"/>
  <c r="BO2" i="27" s="1"/>
  <c r="AS13" i="27"/>
  <c r="AV13" i="27" s="1"/>
  <c r="AW13" i="27" s="1"/>
  <c r="BO13" i="27" s="1"/>
  <c r="BQ12" i="27" s="1"/>
  <c r="BC8" i="27"/>
  <c r="AS8" i="27"/>
  <c r="AV8" i="27" s="1"/>
  <c r="AW8" i="27" s="1"/>
  <c r="AS37" i="27"/>
  <c r="AV37" i="27" s="1"/>
  <c r="AW37" i="27" s="1"/>
  <c r="AS14" i="27"/>
  <c r="AV14" i="27" s="1"/>
  <c r="AW14" i="27" s="1"/>
  <c r="AS21" i="27"/>
  <c r="AV21" i="27" s="1"/>
  <c r="AW21" i="27" s="1"/>
  <c r="AS16" i="27"/>
  <c r="AV16" i="27" s="1"/>
  <c r="AW16" i="27" s="1"/>
  <c r="AS27" i="27"/>
  <c r="AV27" i="27" s="1"/>
  <c r="AW27" i="27" s="1"/>
  <c r="AS32" i="27"/>
  <c r="AV32" i="27" s="1"/>
  <c r="AW32" i="27" s="1"/>
  <c r="AS23" i="27"/>
  <c r="AV23" i="27" s="1"/>
  <c r="AW23" i="27" s="1"/>
  <c r="AS35" i="27"/>
  <c r="AV35" i="27" s="1"/>
  <c r="AW35" i="27" s="1"/>
  <c r="AS31" i="27"/>
  <c r="AV31" i="27" s="1"/>
  <c r="AW31" i="27" s="1"/>
  <c r="AS3" i="27"/>
  <c r="AV3" i="27" s="1"/>
  <c r="AW3" i="27" s="1"/>
  <c r="BC18" i="27"/>
  <c r="BB18" i="27"/>
  <c r="AS9" i="27"/>
  <c r="AV9" i="27" s="1"/>
  <c r="AW9" i="27" s="1"/>
  <c r="BC13" i="27"/>
  <c r="AS26" i="27"/>
  <c r="AV26" i="27" s="1"/>
  <c r="AW26" i="27" s="1"/>
  <c r="AS17" i="27"/>
  <c r="AV17" i="27" s="1"/>
  <c r="AW17" i="27" s="1"/>
  <c r="AS18" i="27"/>
  <c r="AV18" i="27" s="1"/>
  <c r="AW18" i="27" s="1"/>
  <c r="AS33" i="27"/>
  <c r="AV33" i="27" s="1"/>
  <c r="AW33" i="27" s="1"/>
  <c r="BB5" i="27"/>
  <c r="BB11" i="27"/>
  <c r="BB14" i="27"/>
  <c r="BC14" i="27"/>
  <c r="AS43" i="27"/>
  <c r="AV43" i="27" s="1"/>
  <c r="AW43" i="27" s="1"/>
  <c r="BC29" i="27"/>
  <c r="BB29" i="27"/>
  <c r="AS6" i="27"/>
  <c r="AV6" i="27" s="1"/>
  <c r="AW6" i="27" s="1"/>
  <c r="AS19" i="27"/>
  <c r="AV19" i="27" s="1"/>
  <c r="AW19" i="27" s="1"/>
  <c r="AS29" i="27"/>
  <c r="AV29" i="27" s="1"/>
  <c r="AW29" i="27" s="1"/>
  <c r="BC9" i="27"/>
  <c r="BB9" i="27"/>
  <c r="AS40" i="27"/>
  <c r="AV40" i="27" s="1"/>
  <c r="AW40" i="27" s="1"/>
  <c r="AS41" i="27"/>
  <c r="AV41" i="27" s="1"/>
  <c r="AW41" i="27" s="1"/>
  <c r="AS39" i="27"/>
  <c r="AV39" i="27" s="1"/>
  <c r="AW39" i="27" s="1"/>
  <c r="AS42" i="27"/>
  <c r="AV42" i="27" s="1"/>
  <c r="AW42" i="27" s="1"/>
  <c r="AS12" i="27"/>
  <c r="AV12" i="27" s="1"/>
  <c r="AW12" i="27" s="1"/>
  <c r="BC30" i="27"/>
  <c r="BB30" i="27"/>
  <c r="AS22" i="27"/>
  <c r="AV22" i="27" s="1"/>
  <c r="AW22" i="27" s="1"/>
  <c r="BB15" i="27"/>
  <c r="BC22" i="27"/>
  <c r="BB36" i="27"/>
  <c r="BB6" i="27"/>
  <c r="BC19" i="27"/>
  <c r="BB19" i="27"/>
  <c r="BC39" i="27"/>
  <c r="BB39" i="27"/>
  <c r="BB24" i="27"/>
  <c r="AS28" i="27"/>
  <c r="AV28" i="27" s="1"/>
  <c r="AW28" i="27" s="1"/>
  <c r="BB31" i="27"/>
  <c r="AS20" i="27"/>
  <c r="AV20" i="27" s="1"/>
  <c r="AW20" i="27" s="1"/>
  <c r="AS38" i="27"/>
  <c r="AV38" i="27" s="1"/>
  <c r="AW38" i="27" s="1"/>
  <c r="AS34" i="27"/>
  <c r="AV34" i="27" s="1"/>
  <c r="AW34" i="27" s="1"/>
  <c r="BB28" i="27"/>
  <c r="BB16" i="27"/>
  <c r="BC32" i="27"/>
  <c r="BC42" i="27"/>
  <c r="BB42" i="27"/>
  <c r="BC35" i="27"/>
  <c r="BB35" i="27"/>
  <c r="BC44" i="27"/>
  <c r="BB44" i="27"/>
  <c r="BC37" i="27"/>
  <c r="BB37" i="27"/>
  <c r="BC41" i="27"/>
  <c r="BB41" i="27"/>
  <c r="BC43" i="27"/>
  <c r="BB43" i="27"/>
  <c r="BC38" i="27"/>
  <c r="BB38" i="27"/>
  <c r="BC40" i="27"/>
  <c r="BB40" i="27"/>
  <c r="AS159" i="26"/>
  <c r="AX159" i="26" s="1"/>
  <c r="BF39" i="26"/>
  <c r="BG142" i="26"/>
  <c r="BW142" i="26" s="1"/>
  <c r="BG8" i="26"/>
  <c r="BW8" i="26" s="1"/>
  <c r="BF6" i="26"/>
  <c r="BG154" i="26"/>
  <c r="BW154" i="26" s="1"/>
  <c r="BF18" i="26"/>
  <c r="BG25" i="26"/>
  <c r="BW25" i="26" s="1"/>
  <c r="AS156" i="26"/>
  <c r="AX156" i="26" s="1"/>
  <c r="BG171" i="26"/>
  <c r="BW171" i="26" s="1"/>
  <c r="BG172" i="26"/>
  <c r="BW172" i="26" s="1"/>
  <c r="BG112" i="26"/>
  <c r="BW112" i="26" s="1"/>
  <c r="BG125" i="26"/>
  <c r="BW125" i="26" s="1"/>
  <c r="BG12" i="26"/>
  <c r="BW12" i="26" s="1"/>
  <c r="BF44" i="26"/>
  <c r="BG91" i="26"/>
  <c r="BW91" i="26" s="1"/>
  <c r="BG90" i="26"/>
  <c r="BW90" i="26" s="1"/>
  <c r="BF129" i="26"/>
  <c r="BF151" i="26"/>
  <c r="BF59" i="26"/>
  <c r="BG168" i="26"/>
  <c r="BW168" i="26" s="1"/>
  <c r="BF60" i="26"/>
  <c r="BG53" i="26"/>
  <c r="BW53" i="26" s="1"/>
  <c r="BF140" i="26"/>
  <c r="BF160" i="26"/>
  <c r="BG37" i="26"/>
  <c r="BW37" i="26" s="1"/>
  <c r="BF100" i="26"/>
  <c r="BF141" i="26"/>
  <c r="BG143" i="26"/>
  <c r="BW143" i="26" s="1"/>
  <c r="BG130" i="26"/>
  <c r="BW130" i="26" s="1"/>
  <c r="BG127" i="26"/>
  <c r="BW127" i="26" s="1"/>
  <c r="BF78" i="26"/>
  <c r="AS135" i="26"/>
  <c r="AX135" i="26" s="1"/>
  <c r="BG155" i="26"/>
  <c r="BW155" i="26" s="1"/>
  <c r="AS50" i="26"/>
  <c r="AX50" i="26" s="1"/>
  <c r="BG43" i="26"/>
  <c r="BW43" i="26" s="1"/>
  <c r="BF147" i="26"/>
  <c r="AS78" i="26"/>
  <c r="AS128" i="26"/>
  <c r="AX128" i="26" s="1"/>
  <c r="BG173" i="26"/>
  <c r="BW173" i="26" s="1"/>
  <c r="BG36" i="26"/>
  <c r="BW36" i="26" s="1"/>
  <c r="AS9" i="26"/>
  <c r="AX9" i="26" s="1"/>
  <c r="BG51" i="26"/>
  <c r="BW51" i="26" s="1"/>
  <c r="BF52" i="26"/>
  <c r="BF135" i="26"/>
  <c r="AS23" i="26"/>
  <c r="AX23" i="26" s="1"/>
  <c r="BG38" i="26"/>
  <c r="BW38" i="26" s="1"/>
  <c r="BF38" i="26"/>
  <c r="BG55" i="26"/>
  <c r="BW55" i="26" s="1"/>
  <c r="BF55" i="26"/>
  <c r="AS67" i="26"/>
  <c r="AX67" i="26" s="1"/>
  <c r="BG139" i="26"/>
  <c r="BW139" i="26" s="1"/>
  <c r="AS122" i="26"/>
  <c r="AS35" i="26"/>
  <c r="AX35" i="26" s="1"/>
  <c r="BF61" i="26"/>
  <c r="BF124" i="26"/>
  <c r="BF137" i="26"/>
  <c r="BF73" i="26"/>
  <c r="BF98" i="26"/>
  <c r="BF115" i="26"/>
  <c r="AS71" i="26"/>
  <c r="AX71" i="26" s="1"/>
  <c r="AS44" i="26"/>
  <c r="AX44" i="26" s="1"/>
  <c r="BG10" i="26"/>
  <c r="BW10" i="26" s="1"/>
  <c r="BF10" i="26"/>
  <c r="BF11" i="26"/>
  <c r="BF156" i="26"/>
  <c r="AS179" i="26"/>
  <c r="AX179" i="26" s="1"/>
  <c r="BF24" i="26"/>
  <c r="BG102" i="26"/>
  <c r="BW102" i="26" s="1"/>
  <c r="BF102" i="26"/>
  <c r="AS45" i="26"/>
  <c r="AX45" i="26" s="1"/>
  <c r="BF165" i="26"/>
  <c r="BG165" i="26"/>
  <c r="BW165" i="26" s="1"/>
  <c r="BG28" i="26"/>
  <c r="BW28" i="26" s="1"/>
  <c r="BF28" i="26"/>
  <c r="AS76" i="26"/>
  <c r="AS54" i="26"/>
  <c r="AX54" i="26" s="1"/>
  <c r="AS124" i="26"/>
  <c r="AX124" i="26" s="1"/>
  <c r="AS147" i="26"/>
  <c r="AX147" i="26" s="1"/>
  <c r="BF85" i="26"/>
  <c r="BG85" i="26"/>
  <c r="BW85" i="26" s="1"/>
  <c r="BF109" i="26"/>
  <c r="BF119" i="26"/>
  <c r="AS149" i="26"/>
  <c r="AX149" i="26" s="1"/>
  <c r="BG120" i="26"/>
  <c r="BW120" i="26" s="1"/>
  <c r="BF120" i="26"/>
  <c r="BF132" i="26"/>
  <c r="AS59" i="26"/>
  <c r="AS153" i="26"/>
  <c r="AX153" i="26" s="1"/>
  <c r="BG176" i="26"/>
  <c r="BW176" i="26" s="1"/>
  <c r="BF176" i="26"/>
  <c r="AS175" i="26"/>
  <c r="AX175" i="26" s="1"/>
  <c r="BG14" i="26"/>
  <c r="BW14" i="26" s="1"/>
  <c r="BF14" i="26"/>
  <c r="BF163" i="26"/>
  <c r="BF105" i="26"/>
  <c r="BG42" i="26"/>
  <c r="BW42" i="26" s="1"/>
  <c r="BF42" i="26"/>
  <c r="BG30" i="26"/>
  <c r="BW30" i="26" s="1"/>
  <c r="BF5" i="26"/>
  <c r="BG31" i="26"/>
  <c r="BW31" i="26" s="1"/>
  <c r="BG58" i="26"/>
  <c r="BW58" i="26" s="1"/>
  <c r="BF58" i="26"/>
  <c r="AS61" i="26"/>
  <c r="BF75" i="26"/>
  <c r="BF81" i="26"/>
  <c r="BF96" i="26"/>
  <c r="BG133" i="26"/>
  <c r="BW133" i="26" s="1"/>
  <c r="AS5" i="26"/>
  <c r="BG33" i="26"/>
  <c r="BW33" i="26" s="1"/>
  <c r="BF33" i="26"/>
  <c r="BG89" i="26"/>
  <c r="BW89" i="26" s="1"/>
  <c r="BF89" i="26"/>
  <c r="AS137" i="26"/>
  <c r="AX137" i="26" s="1"/>
  <c r="BG41" i="26"/>
  <c r="BW41" i="26" s="1"/>
  <c r="BF41" i="26"/>
  <c r="AS47" i="26"/>
  <c r="AX47" i="26" s="1"/>
  <c r="AS86" i="26"/>
  <c r="AS99" i="26"/>
  <c r="AX99" i="26" s="1"/>
  <c r="AS118" i="26"/>
  <c r="AX118" i="26" s="1"/>
  <c r="BG148" i="26"/>
  <c r="BW148" i="26" s="1"/>
  <c r="AS88" i="26"/>
  <c r="AS90" i="26"/>
  <c r="AS24" i="26"/>
  <c r="AX24" i="26" s="1"/>
  <c r="AS31" i="26"/>
  <c r="AX31" i="26" s="1"/>
  <c r="AS41" i="26"/>
  <c r="AX41" i="26" s="1"/>
  <c r="AS46" i="26"/>
  <c r="AX46" i="26" s="1"/>
  <c r="AS144" i="26"/>
  <c r="AX144" i="26" s="1"/>
  <c r="AS174" i="26"/>
  <c r="AX174" i="26" s="1"/>
  <c r="BF48" i="26"/>
  <c r="BF158" i="26"/>
  <c r="AS108" i="26"/>
  <c r="AX108" i="26" s="1"/>
  <c r="AS110" i="26"/>
  <c r="AX110" i="26" s="1"/>
  <c r="BF152" i="26"/>
  <c r="BF180" i="26"/>
  <c r="BF20" i="26"/>
  <c r="BF54" i="26"/>
  <c r="BF79" i="26"/>
  <c r="BF108" i="26"/>
  <c r="BF114" i="26"/>
  <c r="BF118" i="26"/>
  <c r="BF121" i="26"/>
  <c r="BF123" i="26"/>
  <c r="BF159" i="26"/>
  <c r="BF164" i="26"/>
  <c r="BG80" i="26"/>
  <c r="BW80" i="26" s="1"/>
  <c r="AS164" i="26"/>
  <c r="AX164" i="26" s="1"/>
  <c r="AS39" i="26"/>
  <c r="AX39" i="26" s="1"/>
  <c r="AS10" i="26"/>
  <c r="AX10" i="26" s="1"/>
  <c r="AS106" i="26"/>
  <c r="AX106" i="26" s="1"/>
  <c r="AS19" i="26"/>
  <c r="AX19" i="26" s="1"/>
  <c r="AS25" i="26"/>
  <c r="AX25" i="26" s="1"/>
  <c r="AS20" i="26"/>
  <c r="AX20" i="26" s="1"/>
  <c r="BG26" i="26"/>
  <c r="BW26" i="26" s="1"/>
  <c r="BF26" i="26"/>
  <c r="AS37" i="26"/>
  <c r="AX37" i="26" s="1"/>
  <c r="BG15" i="26"/>
  <c r="BW15" i="26" s="1"/>
  <c r="BF15" i="26"/>
  <c r="AS34" i="26"/>
  <c r="AX34" i="26" s="1"/>
  <c r="AS101" i="26"/>
  <c r="AS8" i="26"/>
  <c r="AX8" i="26" s="1"/>
  <c r="AS13" i="26"/>
  <c r="AX13" i="26" s="1"/>
  <c r="BF17" i="26"/>
  <c r="BG17" i="26"/>
  <c r="BW17" i="26" s="1"/>
  <c r="AS22" i="26"/>
  <c r="AX22" i="26" s="1"/>
  <c r="AS28" i="26"/>
  <c r="AX28" i="26" s="1"/>
  <c r="AS66" i="26"/>
  <c r="AX66" i="26" s="1"/>
  <c r="AS6" i="26"/>
  <c r="AX6" i="26" s="1"/>
  <c r="AS11" i="26"/>
  <c r="AX11" i="26" s="1"/>
  <c r="AS53" i="26"/>
  <c r="AX53" i="26" s="1"/>
  <c r="BG110" i="26"/>
  <c r="BW110" i="26" s="1"/>
  <c r="BF110" i="26"/>
  <c r="BF50" i="26"/>
  <c r="AS12" i="26"/>
  <c r="AX12" i="26" s="1"/>
  <c r="BG177" i="26"/>
  <c r="BW177" i="26" s="1"/>
  <c r="BF101" i="26"/>
  <c r="BG101" i="26"/>
  <c r="BW101" i="26" s="1"/>
  <c r="BG126" i="26"/>
  <c r="BW126" i="26" s="1"/>
  <c r="BF126" i="26"/>
  <c r="BF64" i="26"/>
  <c r="AS95" i="26"/>
  <c r="BF95" i="26"/>
  <c r="BF16" i="26"/>
  <c r="BG40" i="26"/>
  <c r="BW40" i="26" s="1"/>
  <c r="BF62" i="26"/>
  <c r="BG76" i="26"/>
  <c r="BW76" i="26" s="1"/>
  <c r="BF76" i="26"/>
  <c r="BG122" i="26"/>
  <c r="BW122" i="26" s="1"/>
  <c r="BF122" i="26"/>
  <c r="BF9" i="26"/>
  <c r="BG9" i="26"/>
  <c r="BW9" i="26" s="1"/>
  <c r="AS30" i="26"/>
  <c r="AX30" i="26" s="1"/>
  <c r="BF32" i="26"/>
  <c r="BF34" i="26"/>
  <c r="BF77" i="26"/>
  <c r="AS7" i="26"/>
  <c r="AX7" i="26" s="1"/>
  <c r="AS84" i="26"/>
  <c r="AX84" i="26" s="1"/>
  <c r="BG7" i="26"/>
  <c r="BW7" i="26" s="1"/>
  <c r="AS85" i="26"/>
  <c r="BG66" i="26"/>
  <c r="BW66" i="26" s="1"/>
  <c r="BF66" i="26"/>
  <c r="AS69" i="26"/>
  <c r="AX69" i="26" s="1"/>
  <c r="AS15" i="26"/>
  <c r="AX15" i="26" s="1"/>
  <c r="BG23" i="26"/>
  <c r="BW23" i="26" s="1"/>
  <c r="BF23" i="26"/>
  <c r="AS49" i="26"/>
  <c r="AX49" i="26" s="1"/>
  <c r="BF35" i="26"/>
  <c r="AS74" i="26"/>
  <c r="AX74" i="26" s="1"/>
  <c r="AS107" i="26"/>
  <c r="AX107" i="26" s="1"/>
  <c r="AS29" i="26"/>
  <c r="AX29" i="26" s="1"/>
  <c r="BF67" i="26"/>
  <c r="AS57" i="26"/>
  <c r="BF57" i="26"/>
  <c r="BF88" i="26"/>
  <c r="BG29" i="26"/>
  <c r="BW29" i="26" s="1"/>
  <c r="AS48" i="26"/>
  <c r="AX48" i="26" s="1"/>
  <c r="BG71" i="26"/>
  <c r="BW71" i="26" s="1"/>
  <c r="BF71" i="26"/>
  <c r="AS120" i="26"/>
  <c r="AX120" i="26" s="1"/>
  <c r="AS17" i="26"/>
  <c r="AX17" i="26" s="1"/>
  <c r="AS21" i="26"/>
  <c r="AX21" i="26" s="1"/>
  <c r="AS26" i="26"/>
  <c r="AX26" i="26" s="1"/>
  <c r="BG69" i="26"/>
  <c r="BW69" i="26" s="1"/>
  <c r="BF69" i="26"/>
  <c r="AS73" i="26"/>
  <c r="AX73" i="26" s="1"/>
  <c r="AS14" i="26"/>
  <c r="AX14" i="26" s="1"/>
  <c r="AS42" i="26"/>
  <c r="AX42" i="26" s="1"/>
  <c r="AS70" i="26"/>
  <c r="AX70" i="26" s="1"/>
  <c r="BG19" i="26"/>
  <c r="BW19" i="26" s="1"/>
  <c r="BF19" i="26"/>
  <c r="AS27" i="26"/>
  <c r="AX27" i="26" s="1"/>
  <c r="AS81" i="26"/>
  <c r="AS92" i="26"/>
  <c r="AS93" i="26"/>
  <c r="AS64" i="26"/>
  <c r="AX64" i="26" s="1"/>
  <c r="AS140" i="26"/>
  <c r="AX140" i="26" s="1"/>
  <c r="BG144" i="26"/>
  <c r="BW144" i="26" s="1"/>
  <c r="BF144" i="26"/>
  <c r="AS18" i="26"/>
  <c r="AX18" i="26" s="1"/>
  <c r="AS38" i="26"/>
  <c r="BG45" i="26"/>
  <c r="BW45" i="26" s="1"/>
  <c r="BF45" i="26"/>
  <c r="AS65" i="26"/>
  <c r="AS36" i="26"/>
  <c r="AX36" i="26" s="1"/>
  <c r="AS55" i="26"/>
  <c r="AX55" i="26" s="1"/>
  <c r="AS60" i="26"/>
  <c r="AS68" i="26"/>
  <c r="AX68" i="26" s="1"/>
  <c r="BG68" i="26"/>
  <c r="BW68" i="26" s="1"/>
  <c r="BF68" i="26"/>
  <c r="AS82" i="26"/>
  <c r="AS56" i="26"/>
  <c r="BG47" i="26"/>
  <c r="BW47" i="26" s="1"/>
  <c r="BF47" i="26"/>
  <c r="AS58" i="26"/>
  <c r="AS91" i="26"/>
  <c r="AS115" i="26"/>
  <c r="AX115" i="26" s="1"/>
  <c r="BG136" i="26"/>
  <c r="BW136" i="26" s="1"/>
  <c r="AS158" i="26"/>
  <c r="AX158" i="26" s="1"/>
  <c r="AS162" i="26"/>
  <c r="AX162" i="26" s="1"/>
  <c r="BF49" i="26"/>
  <c r="AS52" i="26"/>
  <c r="AX52" i="26" s="1"/>
  <c r="AS123" i="26"/>
  <c r="AX123" i="26" s="1"/>
  <c r="AS72" i="26"/>
  <c r="AX72" i="26" s="1"/>
  <c r="BF99" i="26"/>
  <c r="BG99" i="26"/>
  <c r="BW99" i="26" s="1"/>
  <c r="BG22" i="26"/>
  <c r="BW22" i="26" s="1"/>
  <c r="BF22" i="26"/>
  <c r="AS33" i="26"/>
  <c r="AX33" i="26" s="1"/>
  <c r="BG93" i="26"/>
  <c r="BW93" i="26" s="1"/>
  <c r="BF93" i="26"/>
  <c r="BG104" i="26"/>
  <c r="BW104" i="26" s="1"/>
  <c r="BF104" i="26"/>
  <c r="AS113" i="26"/>
  <c r="AX113" i="26" s="1"/>
  <c r="AS51" i="26"/>
  <c r="AX51" i="26" s="1"/>
  <c r="BF72" i="26"/>
  <c r="BF128" i="26"/>
  <c r="BG128" i="26"/>
  <c r="BW128" i="26" s="1"/>
  <c r="BF131" i="26"/>
  <c r="AS43" i="26"/>
  <c r="AX43" i="26" s="1"/>
  <c r="AS75" i="26"/>
  <c r="AS121" i="26"/>
  <c r="AX121" i="26" s="1"/>
  <c r="AS105" i="26"/>
  <c r="AX105" i="26" s="1"/>
  <c r="BG116" i="26"/>
  <c r="BW116" i="26" s="1"/>
  <c r="BG13" i="26"/>
  <c r="BW13" i="26" s="1"/>
  <c r="BG27" i="26"/>
  <c r="BW27" i="26" s="1"/>
  <c r="BF27" i="26"/>
  <c r="AS62" i="26"/>
  <c r="BF63" i="26"/>
  <c r="AS87" i="26"/>
  <c r="BG87" i="26"/>
  <c r="BW87" i="26" s="1"/>
  <c r="BF87" i="26"/>
  <c r="AS102" i="26"/>
  <c r="AX102" i="26" s="1"/>
  <c r="BG107" i="26"/>
  <c r="BW107" i="26" s="1"/>
  <c r="BF107" i="26"/>
  <c r="BG46" i="26"/>
  <c r="BW46" i="26" s="1"/>
  <c r="BF46" i="26"/>
  <c r="BG70" i="26"/>
  <c r="BW70" i="26" s="1"/>
  <c r="BF70" i="26"/>
  <c r="AS100" i="26"/>
  <c r="AS131" i="26"/>
  <c r="AX131" i="26" s="1"/>
  <c r="AS16" i="26"/>
  <c r="AX16" i="26" s="1"/>
  <c r="AS32" i="26"/>
  <c r="AX32" i="26" s="1"/>
  <c r="BF84" i="26"/>
  <c r="BG84" i="26"/>
  <c r="BW84" i="26" s="1"/>
  <c r="AS114" i="26"/>
  <c r="AX114" i="26" s="1"/>
  <c r="AS119" i="26"/>
  <c r="AX119" i="26" s="1"/>
  <c r="AS126" i="26"/>
  <c r="AX126" i="26" s="1"/>
  <c r="AS129" i="26"/>
  <c r="AX129" i="26" s="1"/>
  <c r="AS116" i="26"/>
  <c r="AX116" i="26" s="1"/>
  <c r="AS170" i="26"/>
  <c r="AX170" i="26" s="1"/>
  <c r="AS145" i="26"/>
  <c r="AX145" i="26" s="1"/>
  <c r="AS96" i="26"/>
  <c r="AX96" i="26" s="1"/>
  <c r="AS103" i="26"/>
  <c r="BF145" i="26"/>
  <c r="BG56" i="26"/>
  <c r="BW56" i="26" s="1"/>
  <c r="BF74" i="26"/>
  <c r="BG103" i="26"/>
  <c r="BW103" i="26" s="1"/>
  <c r="AS150" i="26"/>
  <c r="AX150" i="26" s="1"/>
  <c r="BG150" i="26"/>
  <c r="BW150" i="26" s="1"/>
  <c r="BF150" i="26"/>
  <c r="BF179" i="26"/>
  <c r="BG179" i="26"/>
  <c r="BW179" i="26" s="1"/>
  <c r="AS171" i="26"/>
  <c r="AX171" i="26" s="1"/>
  <c r="AS117" i="26"/>
  <c r="AX117" i="26" s="1"/>
  <c r="AS133" i="26"/>
  <c r="AX133" i="26" s="1"/>
  <c r="AS125" i="26"/>
  <c r="AX125" i="26" s="1"/>
  <c r="AS151" i="26"/>
  <c r="AX151" i="26" s="1"/>
  <c r="BF65" i="26"/>
  <c r="AS89" i="26"/>
  <c r="AS142" i="26"/>
  <c r="AX142" i="26" s="1"/>
  <c r="BF21" i="26"/>
  <c r="AS63" i="26"/>
  <c r="AX63" i="26" s="1"/>
  <c r="AS98" i="26"/>
  <c r="AX98" i="26" s="1"/>
  <c r="AS136" i="26"/>
  <c r="AX136" i="26" s="1"/>
  <c r="AS141" i="26"/>
  <c r="AX141" i="26" s="1"/>
  <c r="AS161" i="26"/>
  <c r="AX161" i="26" s="1"/>
  <c r="BF167" i="26"/>
  <c r="AS40" i="26"/>
  <c r="AS77" i="26"/>
  <c r="AS79" i="26"/>
  <c r="AX79" i="26" s="1"/>
  <c r="AS83" i="26"/>
  <c r="AX83" i="26" s="1"/>
  <c r="BG83" i="26"/>
  <c r="BW83" i="26" s="1"/>
  <c r="BF83" i="26"/>
  <c r="AS94" i="26"/>
  <c r="AS104" i="26"/>
  <c r="AS112" i="26"/>
  <c r="AX112" i="26" s="1"/>
  <c r="BG162" i="26"/>
  <c r="BW162" i="26" s="1"/>
  <c r="BF162" i="26"/>
  <c r="AS97" i="26"/>
  <c r="AX97" i="26" s="1"/>
  <c r="AS132" i="26"/>
  <c r="AX132" i="26" s="1"/>
  <c r="AS157" i="26"/>
  <c r="AX157" i="26" s="1"/>
  <c r="AS167" i="26"/>
  <c r="AX167" i="26" s="1"/>
  <c r="AS111" i="26"/>
  <c r="AX111" i="26" s="1"/>
  <c r="AS172" i="26"/>
  <c r="AX172" i="26" s="1"/>
  <c r="BG92" i="26"/>
  <c r="BW92" i="26" s="1"/>
  <c r="BF92" i="26"/>
  <c r="BF97" i="26"/>
  <c r="BG111" i="26"/>
  <c r="BW111" i="26" s="1"/>
  <c r="AS80" i="26"/>
  <c r="AX80" i="26" s="1"/>
  <c r="BF94" i="26"/>
  <c r="AS130" i="26"/>
  <c r="AX130" i="26" s="1"/>
  <c r="BG86" i="26"/>
  <c r="BW86" i="26" s="1"/>
  <c r="AS155" i="26"/>
  <c r="AX155" i="26" s="1"/>
  <c r="BG153" i="26"/>
  <c r="BW153" i="26" s="1"/>
  <c r="BF153" i="26"/>
  <c r="AS168" i="26"/>
  <c r="AX168" i="26" s="1"/>
  <c r="BG134" i="26"/>
  <c r="BW134" i="26" s="1"/>
  <c r="BF134" i="26"/>
  <c r="BF106" i="26"/>
  <c r="BF113" i="26"/>
  <c r="AS127" i="26"/>
  <c r="AX127" i="26" s="1"/>
  <c r="BG146" i="26"/>
  <c r="BW146" i="26" s="1"/>
  <c r="BF146" i="26"/>
  <c r="BF161" i="26"/>
  <c r="BG161" i="26"/>
  <c r="BW161" i="26" s="1"/>
  <c r="BG117" i="26"/>
  <c r="BW117" i="26" s="1"/>
  <c r="AS143" i="26"/>
  <c r="AX143" i="26" s="1"/>
  <c r="AS154" i="26"/>
  <c r="AX154" i="26" s="1"/>
  <c r="BF82" i="26"/>
  <c r="BG149" i="26"/>
  <c r="BW149" i="26" s="1"/>
  <c r="AS165" i="26"/>
  <c r="AX165" i="26" s="1"/>
  <c r="AS109" i="26"/>
  <c r="AX109" i="26" s="1"/>
  <c r="AS138" i="26"/>
  <c r="AX138" i="26" s="1"/>
  <c r="AS173" i="26"/>
  <c r="AX173" i="26" s="1"/>
  <c r="AS177" i="26"/>
  <c r="AX177" i="26" s="1"/>
  <c r="BG138" i="26"/>
  <c r="BW138" i="26" s="1"/>
  <c r="BF138" i="26"/>
  <c r="AS163" i="26"/>
  <c r="AX163" i="26" s="1"/>
  <c r="AS134" i="26"/>
  <c r="AX134" i="26" s="1"/>
  <c r="BG175" i="26"/>
  <c r="BW175" i="26" s="1"/>
  <c r="BF175" i="26"/>
  <c r="AS160" i="26"/>
  <c r="AX160" i="26" s="1"/>
  <c r="AS166" i="26"/>
  <c r="AX166" i="26" s="1"/>
  <c r="AS148" i="26"/>
  <c r="AX148" i="26" s="1"/>
  <c r="AS169" i="26"/>
  <c r="AX169" i="26" s="1"/>
  <c r="AS180" i="26"/>
  <c r="AX180" i="26" s="1"/>
  <c r="AS178" i="26"/>
  <c r="AX178" i="26" s="1"/>
  <c r="BF169" i="26"/>
  <c r="BG178" i="26"/>
  <c r="BW178" i="26" s="1"/>
  <c r="BF178" i="26"/>
  <c r="AS139" i="26"/>
  <c r="AX139" i="26" s="1"/>
  <c r="AS146" i="26"/>
  <c r="AX146" i="26" s="1"/>
  <c r="BF166" i="26"/>
  <c r="BF170" i="26"/>
  <c r="AS176" i="26"/>
  <c r="AX176" i="26" s="1"/>
  <c r="AS152" i="26"/>
  <c r="AX152" i="26" s="1"/>
  <c r="BG157" i="26"/>
  <c r="BW157" i="26" s="1"/>
  <c r="BF157" i="26"/>
  <c r="BF174" i="26"/>
  <c r="AX90" i="26" l="1"/>
  <c r="AX88" i="26"/>
  <c r="AX95" i="26"/>
  <c r="BW181" i="26"/>
  <c r="AX65" i="26"/>
  <c r="AX101" i="26"/>
  <c r="AX100" i="26"/>
  <c r="AX85" i="26"/>
  <c r="AX86" i="26"/>
  <c r="AX62" i="26"/>
  <c r="AX75" i="26"/>
  <c r="AX77" i="26"/>
  <c r="AX40" i="26"/>
  <c r="AX58" i="26"/>
  <c r="BA58" i="26" s="1"/>
  <c r="BO58" i="26" s="1"/>
  <c r="AX93" i="26"/>
  <c r="AY93" i="26" s="1"/>
  <c r="AX94" i="26"/>
  <c r="AX57" i="26"/>
  <c r="AX56" i="26"/>
  <c r="AX81" i="26"/>
  <c r="AX87" i="26"/>
  <c r="AX59" i="26"/>
  <c r="BA59" i="26" s="1"/>
  <c r="BO59" i="26" s="1"/>
  <c r="AX61" i="26"/>
  <c r="AX82" i="26"/>
  <c r="AX38" i="26"/>
  <c r="AX78" i="26"/>
  <c r="AX76" i="26"/>
  <c r="AX91" i="26"/>
  <c r="AX103" i="26"/>
  <c r="AX92" i="26"/>
  <c r="AX122" i="26"/>
  <c r="AX89" i="26"/>
  <c r="AX5" i="26"/>
  <c r="AX60" i="26"/>
  <c r="AX104" i="26"/>
  <c r="BA169" i="26"/>
  <c r="BO169" i="26" s="1"/>
  <c r="AY169" i="26"/>
  <c r="BA141" i="26"/>
  <c r="BO141" i="26" s="1"/>
  <c r="AY141" i="26"/>
  <c r="BA64" i="26"/>
  <c r="BO64" i="26" s="1"/>
  <c r="AY64" i="26"/>
  <c r="BA50" i="26"/>
  <c r="BO50" i="26" s="1"/>
  <c r="AY50" i="26"/>
  <c r="BA148" i="26"/>
  <c r="BO148" i="26" s="1"/>
  <c r="AY148" i="26"/>
  <c r="BA172" i="26"/>
  <c r="BO172" i="26" s="1"/>
  <c r="AY172" i="26"/>
  <c r="BA136" i="26"/>
  <c r="BO136" i="26" s="1"/>
  <c r="AY136" i="26"/>
  <c r="BA51" i="26"/>
  <c r="AY51" i="26"/>
  <c r="BA12" i="26"/>
  <c r="BO12" i="26" s="1"/>
  <c r="AY12" i="26"/>
  <c r="BA137" i="26"/>
  <c r="BO137" i="26" s="1"/>
  <c r="AY137" i="26"/>
  <c r="BA35" i="26"/>
  <c r="BO35" i="26" s="1"/>
  <c r="AY35" i="26"/>
  <c r="BA166" i="26"/>
  <c r="BO166" i="26" s="1"/>
  <c r="AY166" i="26"/>
  <c r="BA111" i="26"/>
  <c r="BO111" i="26" s="1"/>
  <c r="AY111" i="26"/>
  <c r="BA98" i="26"/>
  <c r="BO98" i="26" s="1"/>
  <c r="AY98" i="26"/>
  <c r="BA113" i="26"/>
  <c r="BO113" i="26" s="1"/>
  <c r="AY113" i="26"/>
  <c r="BA20" i="26"/>
  <c r="BO20" i="26" s="1"/>
  <c r="AY20" i="26"/>
  <c r="BA110" i="26"/>
  <c r="BO110" i="26" s="1"/>
  <c r="AY110" i="26"/>
  <c r="BA135" i="26"/>
  <c r="BO135" i="26" s="1"/>
  <c r="AY135" i="26"/>
  <c r="BA66" i="26"/>
  <c r="BO66" i="26" s="1"/>
  <c r="AY66" i="26"/>
  <c r="BA167" i="26"/>
  <c r="BO167" i="26" s="1"/>
  <c r="AY167" i="26"/>
  <c r="BA30" i="26"/>
  <c r="BO30" i="26" s="1"/>
  <c r="AY30" i="26"/>
  <c r="BA19" i="26"/>
  <c r="AY19" i="26"/>
  <c r="BA67" i="26"/>
  <c r="BO67" i="26" s="1"/>
  <c r="AY67" i="26"/>
  <c r="BA142" i="26"/>
  <c r="BO142" i="26" s="1"/>
  <c r="AY142" i="26"/>
  <c r="BA53" i="26"/>
  <c r="BO53" i="26" s="1"/>
  <c r="AY53" i="26"/>
  <c r="BA97" i="26"/>
  <c r="BO97" i="26" s="1"/>
  <c r="AY97" i="26"/>
  <c r="BA174" i="26"/>
  <c r="BO174" i="26" s="1"/>
  <c r="AY174" i="26"/>
  <c r="BA6" i="26"/>
  <c r="BO6" i="26" s="1"/>
  <c r="AY6" i="26"/>
  <c r="BA126" i="26"/>
  <c r="BO126" i="26" s="1"/>
  <c r="AY126" i="26"/>
  <c r="BA46" i="26"/>
  <c r="BO46" i="26" s="1"/>
  <c r="AY46" i="26"/>
  <c r="BA179" i="26"/>
  <c r="BO179" i="26" s="1"/>
  <c r="AY179" i="26"/>
  <c r="BA152" i="26"/>
  <c r="BO152" i="26" s="1"/>
  <c r="AY152" i="26"/>
  <c r="BA168" i="26"/>
  <c r="BO168" i="26" s="1"/>
  <c r="AY168" i="26"/>
  <c r="BA119" i="26"/>
  <c r="BO119" i="26" s="1"/>
  <c r="AY119" i="26"/>
  <c r="BA41" i="26"/>
  <c r="BO41" i="26" s="1"/>
  <c r="AY41" i="26"/>
  <c r="BA133" i="26"/>
  <c r="BO133" i="26" s="1"/>
  <c r="AY133" i="26"/>
  <c r="BA63" i="26"/>
  <c r="BO63" i="26" s="1"/>
  <c r="AY63" i="26"/>
  <c r="BA127" i="26"/>
  <c r="BO127" i="26" s="1"/>
  <c r="AY127" i="26"/>
  <c r="BA132" i="26"/>
  <c r="BO132" i="26" s="1"/>
  <c r="AY132" i="26"/>
  <c r="BA116" i="26"/>
  <c r="BO116" i="26" s="1"/>
  <c r="AY116" i="26"/>
  <c r="BA107" i="26"/>
  <c r="BO107" i="26" s="1"/>
  <c r="AY107" i="26"/>
  <c r="BA156" i="26"/>
  <c r="BO156" i="26" s="1"/>
  <c r="AY156" i="26"/>
  <c r="BA151" i="26"/>
  <c r="BO151" i="26" s="1"/>
  <c r="AY151" i="26"/>
  <c r="BA68" i="26"/>
  <c r="BO68" i="26" s="1"/>
  <c r="AY68" i="26"/>
  <c r="BA42" i="26"/>
  <c r="BO42" i="26" s="1"/>
  <c r="AY42" i="26"/>
  <c r="BA164" i="26"/>
  <c r="BO164" i="26" s="1"/>
  <c r="AY164" i="26"/>
  <c r="BA112" i="26"/>
  <c r="AY112" i="26"/>
  <c r="BA125" i="26"/>
  <c r="BO125" i="26" s="1"/>
  <c r="AY125" i="26"/>
  <c r="BA14" i="26"/>
  <c r="BO14" i="26" s="1"/>
  <c r="AY14" i="26"/>
  <c r="BA49" i="26"/>
  <c r="BO49" i="26" s="1"/>
  <c r="AY49" i="26"/>
  <c r="BA28" i="26"/>
  <c r="AY28" i="26"/>
  <c r="BA23" i="26"/>
  <c r="AY23" i="26"/>
  <c r="BA176" i="26"/>
  <c r="BO176" i="26" s="1"/>
  <c r="AY176" i="26"/>
  <c r="BA177" i="26"/>
  <c r="BO177" i="26" s="1"/>
  <c r="AY177" i="26"/>
  <c r="BA114" i="26"/>
  <c r="BO114" i="26" s="1"/>
  <c r="AY114" i="26"/>
  <c r="BA55" i="26"/>
  <c r="BO55" i="26" s="1"/>
  <c r="AY55" i="26"/>
  <c r="BA73" i="26"/>
  <c r="BO73" i="26" s="1"/>
  <c r="AY73" i="26"/>
  <c r="BA22" i="26"/>
  <c r="BO22" i="26" s="1"/>
  <c r="AY22" i="26"/>
  <c r="BA31" i="26"/>
  <c r="BO31" i="26" s="1"/>
  <c r="AY31" i="26"/>
  <c r="BA173" i="26"/>
  <c r="BO173" i="26" s="1"/>
  <c r="AY173" i="26"/>
  <c r="BA117" i="26"/>
  <c r="BO117" i="26" s="1"/>
  <c r="AY117" i="26"/>
  <c r="BA36" i="26"/>
  <c r="BO36" i="26" s="1"/>
  <c r="AY36" i="26"/>
  <c r="BA24" i="26"/>
  <c r="BO24" i="26" s="1"/>
  <c r="AY24" i="26"/>
  <c r="BA149" i="26"/>
  <c r="BO149" i="26" s="1"/>
  <c r="AY149" i="26"/>
  <c r="BA102" i="26"/>
  <c r="BO102" i="26" s="1"/>
  <c r="AY102" i="26"/>
  <c r="BA108" i="26"/>
  <c r="BO108" i="26" s="1"/>
  <c r="AY108" i="26"/>
  <c r="BA27" i="26"/>
  <c r="BO27" i="26" s="1"/>
  <c r="AY27" i="26"/>
  <c r="BA170" i="26"/>
  <c r="BO170" i="26" s="1"/>
  <c r="AY170" i="26"/>
  <c r="BA106" i="26"/>
  <c r="BO106" i="26" s="1"/>
  <c r="AY106" i="26"/>
  <c r="BA134" i="26"/>
  <c r="BO134" i="26" s="1"/>
  <c r="AY134" i="26"/>
  <c r="BA163" i="26"/>
  <c r="BO163" i="26" s="1"/>
  <c r="AY163" i="26"/>
  <c r="BA33" i="26"/>
  <c r="BO33" i="26" s="1"/>
  <c r="AY33" i="26"/>
  <c r="BA39" i="26"/>
  <c r="BO39" i="26" s="1"/>
  <c r="AY39" i="26"/>
  <c r="BA138" i="26"/>
  <c r="BO138" i="26" s="1"/>
  <c r="AY138" i="26"/>
  <c r="BA123" i="26"/>
  <c r="BO123" i="26" s="1"/>
  <c r="AY123" i="26"/>
  <c r="BA9" i="26"/>
  <c r="BO9" i="26" s="1"/>
  <c r="AY9" i="26"/>
  <c r="BA139" i="26"/>
  <c r="BO139" i="26" s="1"/>
  <c r="AY139" i="26"/>
  <c r="BA17" i="26"/>
  <c r="BO17" i="26" s="1"/>
  <c r="AY17" i="26"/>
  <c r="BA129" i="26"/>
  <c r="BO129" i="26" s="1"/>
  <c r="AY129" i="26"/>
  <c r="BA120" i="26"/>
  <c r="BO120" i="26" s="1"/>
  <c r="AY120" i="26"/>
  <c r="BA34" i="26"/>
  <c r="BO34" i="26" s="1"/>
  <c r="AY34" i="26"/>
  <c r="BA99" i="26"/>
  <c r="BO99" i="26" s="1"/>
  <c r="AY99" i="26"/>
  <c r="BA128" i="26"/>
  <c r="AY128" i="26"/>
  <c r="BA160" i="26"/>
  <c r="BO160" i="26" s="1"/>
  <c r="AY160" i="26"/>
  <c r="BA69" i="26"/>
  <c r="BO69" i="26" s="1"/>
  <c r="AY69" i="26"/>
  <c r="BA45" i="26"/>
  <c r="BO45" i="26" s="1"/>
  <c r="AY45" i="26"/>
  <c r="BA29" i="26"/>
  <c r="BO29" i="26" s="1"/>
  <c r="AY29" i="26"/>
  <c r="BA11" i="26"/>
  <c r="BO11" i="26" s="1"/>
  <c r="AY11" i="26"/>
  <c r="BA74" i="26"/>
  <c r="BO74" i="26" s="1"/>
  <c r="AY74" i="26"/>
  <c r="BA155" i="26"/>
  <c r="BO155" i="26" s="1"/>
  <c r="AY155" i="26"/>
  <c r="BA109" i="26"/>
  <c r="BO109" i="26" s="1"/>
  <c r="AY109" i="26"/>
  <c r="BA105" i="26"/>
  <c r="BO105" i="26" s="1"/>
  <c r="AY105" i="26"/>
  <c r="BA26" i="26"/>
  <c r="BO26" i="26" s="1"/>
  <c r="AY26" i="26"/>
  <c r="BA165" i="26"/>
  <c r="BO165" i="26" s="1"/>
  <c r="AY165" i="26"/>
  <c r="BA83" i="26"/>
  <c r="BO83" i="26" s="1"/>
  <c r="AY83" i="26"/>
  <c r="BA121" i="26"/>
  <c r="BO121" i="26" s="1"/>
  <c r="AY121" i="26"/>
  <c r="BA8" i="26"/>
  <c r="BO8" i="26" s="1"/>
  <c r="AY8" i="26"/>
  <c r="BA159" i="26"/>
  <c r="BO159" i="26" s="1"/>
  <c r="AY159" i="26"/>
  <c r="BA131" i="26"/>
  <c r="BO131" i="26" s="1"/>
  <c r="AY131" i="26"/>
  <c r="BA80" i="26"/>
  <c r="BO80" i="26" s="1"/>
  <c r="AY80" i="26"/>
  <c r="BA162" i="26"/>
  <c r="BO162" i="26" s="1"/>
  <c r="AY162" i="26"/>
  <c r="BA154" i="26"/>
  <c r="BO154" i="26" s="1"/>
  <c r="AY154" i="26"/>
  <c r="BA150" i="26"/>
  <c r="BO150" i="26" s="1"/>
  <c r="AY150" i="26"/>
  <c r="BA158" i="26"/>
  <c r="BO158" i="26" s="1"/>
  <c r="AY158" i="26"/>
  <c r="BA124" i="26"/>
  <c r="BO124" i="26" s="1"/>
  <c r="AY124" i="26"/>
  <c r="BA178" i="26"/>
  <c r="BO178" i="26" s="1"/>
  <c r="AY178" i="26"/>
  <c r="BA143" i="26"/>
  <c r="BO143" i="26" s="1"/>
  <c r="AY143" i="26"/>
  <c r="BA84" i="26"/>
  <c r="BO84" i="26" s="1"/>
  <c r="AY84" i="26"/>
  <c r="BA47" i="26"/>
  <c r="BO47" i="26" s="1"/>
  <c r="AY47" i="26"/>
  <c r="BA54" i="26"/>
  <c r="BO54" i="26" s="1"/>
  <c r="AY54" i="26"/>
  <c r="BA25" i="26"/>
  <c r="BO25" i="26" s="1"/>
  <c r="AY25" i="26"/>
  <c r="BA145" i="26"/>
  <c r="BO145" i="26" s="1"/>
  <c r="AY145" i="26"/>
  <c r="BA10" i="26"/>
  <c r="BO10" i="26" s="1"/>
  <c r="AY10" i="26"/>
  <c r="BA153" i="26"/>
  <c r="BO153" i="26" s="1"/>
  <c r="AY153" i="26"/>
  <c r="BA70" i="26"/>
  <c r="AY70" i="26"/>
  <c r="BA144" i="26"/>
  <c r="BO144" i="26" s="1"/>
  <c r="AY144" i="26"/>
  <c r="BA171" i="26"/>
  <c r="BO171" i="26" s="1"/>
  <c r="AY171" i="26"/>
  <c r="BA72" i="26"/>
  <c r="BO72" i="26" s="1"/>
  <c r="AY72" i="26"/>
  <c r="BA15" i="26"/>
  <c r="BO15" i="26" s="1"/>
  <c r="AY15" i="26"/>
  <c r="BA146" i="26"/>
  <c r="BO146" i="26" s="1"/>
  <c r="AY146" i="26"/>
  <c r="BA32" i="26"/>
  <c r="BO32" i="26" s="1"/>
  <c r="AY32" i="26"/>
  <c r="BA13" i="26"/>
  <c r="BO13" i="26" s="1"/>
  <c r="AY13" i="26"/>
  <c r="BA44" i="26"/>
  <c r="BO44" i="26" s="1"/>
  <c r="AY44" i="26"/>
  <c r="BA130" i="26"/>
  <c r="BO130" i="26" s="1"/>
  <c r="AY130" i="26"/>
  <c r="BA16" i="26"/>
  <c r="BO16" i="26" s="1"/>
  <c r="AY16" i="26"/>
  <c r="BA52" i="26"/>
  <c r="BO52" i="26" s="1"/>
  <c r="AY52" i="26"/>
  <c r="BA21" i="26"/>
  <c r="BO21" i="26" s="1"/>
  <c r="AY21" i="26"/>
  <c r="BA71" i="26"/>
  <c r="BO71" i="26" s="1"/>
  <c r="AY71" i="26"/>
  <c r="BA79" i="26"/>
  <c r="BO79" i="26" s="1"/>
  <c r="AY79" i="26"/>
  <c r="BA118" i="26"/>
  <c r="BO118" i="26" s="1"/>
  <c r="AY118" i="26"/>
  <c r="BA43" i="26"/>
  <c r="BO43" i="26" s="1"/>
  <c r="AY43" i="26"/>
  <c r="BA18" i="26"/>
  <c r="BO18" i="26" s="1"/>
  <c r="AY18" i="26"/>
  <c r="BA180" i="26"/>
  <c r="BO180" i="26" s="1"/>
  <c r="AY180" i="26"/>
  <c r="BA161" i="26"/>
  <c r="BO161" i="26" s="1"/>
  <c r="AY161" i="26"/>
  <c r="BA115" i="26"/>
  <c r="BO115" i="26" s="1"/>
  <c r="AY115" i="26"/>
  <c r="BA140" i="26"/>
  <c r="BO140" i="26" s="1"/>
  <c r="AY140" i="26"/>
  <c r="BA48" i="26"/>
  <c r="BO48" i="26" s="1"/>
  <c r="AY48" i="26"/>
  <c r="BA7" i="26"/>
  <c r="BO7" i="26" s="1"/>
  <c r="AY7" i="26"/>
  <c r="AZ7" i="26" s="1"/>
  <c r="BA37" i="26"/>
  <c r="BO37" i="26" s="1"/>
  <c r="AY37" i="26"/>
  <c r="BK5" i="27"/>
  <c r="BO25" i="27"/>
  <c r="BQ24" i="27" s="1"/>
  <c r="BK24" i="27"/>
  <c r="BO11" i="27"/>
  <c r="BQ10" i="27" s="1"/>
  <c r="BK36" i="27"/>
  <c r="BK44" i="27"/>
  <c r="BK2" i="27"/>
  <c r="BK7" i="27"/>
  <c r="BK30" i="27"/>
  <c r="BK4" i="27"/>
  <c r="BK10" i="27"/>
  <c r="BK15" i="27"/>
  <c r="BO38" i="27"/>
  <c r="BQ37" i="27" s="1"/>
  <c r="BK38" i="27"/>
  <c r="BO8" i="27"/>
  <c r="BQ7" i="27" s="1"/>
  <c r="BK8" i="27"/>
  <c r="BO39" i="27"/>
  <c r="BQ38" i="27" s="1"/>
  <c r="BK39" i="27"/>
  <c r="BO21" i="27"/>
  <c r="BQ20" i="27" s="1"/>
  <c r="BK21" i="27"/>
  <c r="BO12" i="27"/>
  <c r="BQ11" i="27" s="1"/>
  <c r="BK12" i="27"/>
  <c r="BO14" i="27"/>
  <c r="BQ13" i="27" s="1"/>
  <c r="BK14" i="27"/>
  <c r="BO41" i="27"/>
  <c r="BQ40" i="27" s="1"/>
  <c r="BK41" i="27"/>
  <c r="BK9" i="27"/>
  <c r="BO9" i="27"/>
  <c r="BQ8" i="27" s="1"/>
  <c r="BK23" i="27"/>
  <c r="BO23" i="27"/>
  <c r="BQ22" i="27" s="1"/>
  <c r="BO32" i="27"/>
  <c r="BQ31" i="27" s="1"/>
  <c r="BK32" i="27"/>
  <c r="BO40" i="27"/>
  <c r="BQ39" i="27" s="1"/>
  <c r="BK40" i="27"/>
  <c r="BK27" i="27"/>
  <c r="BO27" i="27"/>
  <c r="BQ26" i="27" s="1"/>
  <c r="BO33" i="27"/>
  <c r="BQ32" i="27" s="1"/>
  <c r="BK33" i="27"/>
  <c r="BK13" i="27"/>
  <c r="BO37" i="27"/>
  <c r="BQ36" i="27" s="1"/>
  <c r="BK37" i="27"/>
  <c r="BO16" i="27"/>
  <c r="BQ15" i="27" s="1"/>
  <c r="BK16" i="27"/>
  <c r="BO20" i="27"/>
  <c r="BQ19" i="27" s="1"/>
  <c r="BK20" i="27"/>
  <c r="BO31" i="27"/>
  <c r="BQ30" i="27" s="1"/>
  <c r="BK31" i="27"/>
  <c r="BK26" i="27"/>
  <c r="BO26" i="27"/>
  <c r="BQ25" i="27" s="1"/>
  <c r="BK3" i="27"/>
  <c r="BO3" i="27"/>
  <c r="BQ2" i="27" s="1"/>
  <c r="BO22" i="27"/>
  <c r="BQ21" i="27" s="1"/>
  <c r="BK22" i="27"/>
  <c r="BO29" i="27"/>
  <c r="BQ28" i="27" s="1"/>
  <c r="BK29" i="27"/>
  <c r="BK18" i="27"/>
  <c r="BO18" i="27"/>
  <c r="BQ17" i="27" s="1"/>
  <c r="BK17" i="27"/>
  <c r="BO17" i="27"/>
  <c r="BQ16" i="27" s="1"/>
  <c r="BK28" i="27"/>
  <c r="BO28" i="27"/>
  <c r="BQ27" i="27" s="1"/>
  <c r="BK6" i="27"/>
  <c r="BO6" i="27"/>
  <c r="BQ5" i="27" s="1"/>
  <c r="BO35" i="27"/>
  <c r="BQ34" i="27" s="1"/>
  <c r="BK35" i="27"/>
  <c r="BO43" i="27"/>
  <c r="BQ42" i="27" s="1"/>
  <c r="BK43" i="27"/>
  <c r="BO42" i="27"/>
  <c r="BQ41" i="27" s="1"/>
  <c r="BK42" i="27"/>
  <c r="BO34" i="27"/>
  <c r="BQ33" i="27" s="1"/>
  <c r="BK34" i="27"/>
  <c r="BO19" i="27"/>
  <c r="BQ18" i="27" s="1"/>
  <c r="BK19" i="27"/>
  <c r="BA5" i="26" l="1"/>
  <c r="BO5" i="26" s="1"/>
  <c r="AY5" i="26"/>
  <c r="AZ5" i="26" s="1"/>
  <c r="AY58" i="26"/>
  <c r="AZ58" i="26" s="1"/>
  <c r="BA93" i="26"/>
  <c r="BO93" i="26" s="1"/>
  <c r="AY59" i="26"/>
  <c r="AZ59" i="26" s="1"/>
  <c r="AZ63" i="26"/>
  <c r="BS63" i="26"/>
  <c r="BZ63" i="26" s="1"/>
  <c r="BT63" i="26"/>
  <c r="CA63" i="26" s="1"/>
  <c r="BU63" i="26"/>
  <c r="CB63" i="26" s="1"/>
  <c r="AZ174" i="26"/>
  <c r="BU174" i="26"/>
  <c r="CB174" i="26" s="1"/>
  <c r="BS174" i="26"/>
  <c r="BZ174" i="26" s="1"/>
  <c r="BT174" i="26"/>
  <c r="CA174" i="26" s="1"/>
  <c r="AZ110" i="26"/>
  <c r="BT110" i="26"/>
  <c r="CA110" i="26" s="1"/>
  <c r="BU110" i="26"/>
  <c r="CB110" i="26" s="1"/>
  <c r="BS110" i="26"/>
  <c r="BZ110" i="26" s="1"/>
  <c r="AZ115" i="26"/>
  <c r="BT115" i="26"/>
  <c r="CA115" i="26" s="1"/>
  <c r="BU115" i="26"/>
  <c r="CB115" i="26" s="1"/>
  <c r="BS115" i="26"/>
  <c r="BZ115" i="26" s="1"/>
  <c r="AZ16" i="26"/>
  <c r="BT16" i="26"/>
  <c r="CA16" i="26" s="1"/>
  <c r="BU16" i="26"/>
  <c r="CB16" i="26" s="1"/>
  <c r="BS16" i="26"/>
  <c r="BZ16" i="26" s="1"/>
  <c r="AZ70" i="26"/>
  <c r="BT70" i="26"/>
  <c r="CA70" i="26" s="1"/>
  <c r="BU70" i="26"/>
  <c r="CB70" i="26" s="1"/>
  <c r="BS70" i="26"/>
  <c r="BZ70" i="26" s="1"/>
  <c r="AZ124" i="26"/>
  <c r="BS124" i="26"/>
  <c r="BZ124" i="26" s="1"/>
  <c r="BU124" i="26"/>
  <c r="CB124" i="26" s="1"/>
  <c r="BT124" i="26"/>
  <c r="CA124" i="26" s="1"/>
  <c r="AZ83" i="26"/>
  <c r="BS83" i="26"/>
  <c r="BZ83" i="26" s="1"/>
  <c r="BT83" i="26"/>
  <c r="CA83" i="26" s="1"/>
  <c r="BU83" i="26"/>
  <c r="CB83" i="26" s="1"/>
  <c r="AZ69" i="26"/>
  <c r="BT69" i="26"/>
  <c r="CA69" i="26" s="1"/>
  <c r="BU69" i="26"/>
  <c r="CB69" i="26" s="1"/>
  <c r="BS69" i="26"/>
  <c r="BZ69" i="26" s="1"/>
  <c r="AZ123" i="26"/>
  <c r="BS123" i="26"/>
  <c r="BZ123" i="26" s="1"/>
  <c r="BT123" i="26"/>
  <c r="CA123" i="26" s="1"/>
  <c r="BU123" i="26"/>
  <c r="CB123" i="26" s="1"/>
  <c r="AZ102" i="26"/>
  <c r="BS102" i="26"/>
  <c r="BZ102" i="26" s="1"/>
  <c r="BU102" i="26"/>
  <c r="CB102" i="26" s="1"/>
  <c r="BT102" i="26"/>
  <c r="CA102" i="26" s="1"/>
  <c r="AZ114" i="26"/>
  <c r="BU114" i="26"/>
  <c r="CB114" i="26" s="1"/>
  <c r="BS114" i="26"/>
  <c r="BZ114" i="26" s="1"/>
  <c r="BT114" i="26"/>
  <c r="CA114" i="26" s="1"/>
  <c r="AZ42" i="26"/>
  <c r="BS42" i="26"/>
  <c r="BZ42" i="26" s="1"/>
  <c r="BU42" i="26"/>
  <c r="CB42" i="26" s="1"/>
  <c r="BT42" i="26"/>
  <c r="CA42" i="26" s="1"/>
  <c r="AZ51" i="26"/>
  <c r="BT51" i="26"/>
  <c r="CA51" i="26" s="1"/>
  <c r="BU51" i="26"/>
  <c r="CB51" i="26" s="1"/>
  <c r="BS51" i="26"/>
  <c r="BZ51" i="26" s="1"/>
  <c r="AZ133" i="26"/>
  <c r="BS133" i="26"/>
  <c r="BZ133" i="26" s="1"/>
  <c r="BT133" i="26"/>
  <c r="CA133" i="26" s="1"/>
  <c r="BU133" i="26"/>
  <c r="CB133" i="26" s="1"/>
  <c r="AZ97" i="26"/>
  <c r="BS97" i="26"/>
  <c r="BZ97" i="26" s="1"/>
  <c r="BU97" i="26"/>
  <c r="CB97" i="26" s="1"/>
  <c r="BT97" i="26"/>
  <c r="CA97" i="26" s="1"/>
  <c r="AZ20" i="26"/>
  <c r="BT20" i="26"/>
  <c r="CA20" i="26" s="1"/>
  <c r="BU20" i="26"/>
  <c r="CB20" i="26" s="1"/>
  <c r="BS20" i="26"/>
  <c r="BZ20" i="26" s="1"/>
  <c r="AZ136" i="26"/>
  <c r="BT136" i="26"/>
  <c r="CA136" i="26" s="1"/>
  <c r="BU136" i="26"/>
  <c r="CB136" i="26" s="1"/>
  <c r="BS136" i="26"/>
  <c r="BZ136" i="26" s="1"/>
  <c r="AZ172" i="26"/>
  <c r="BU172" i="26"/>
  <c r="CB172" i="26" s="1"/>
  <c r="BS172" i="26"/>
  <c r="BZ172" i="26" s="1"/>
  <c r="BT172" i="26"/>
  <c r="CA172" i="26" s="1"/>
  <c r="AZ161" i="26"/>
  <c r="BS161" i="26"/>
  <c r="BZ161" i="26" s="1"/>
  <c r="BT161" i="26"/>
  <c r="CA161" i="26" s="1"/>
  <c r="BU161" i="26"/>
  <c r="CB161" i="26" s="1"/>
  <c r="AZ165" i="26"/>
  <c r="BT165" i="26"/>
  <c r="CA165" i="26" s="1"/>
  <c r="BU165" i="26"/>
  <c r="CB165" i="26" s="1"/>
  <c r="BS165" i="26"/>
  <c r="BZ165" i="26" s="1"/>
  <c r="AZ24" i="26"/>
  <c r="BS24" i="26"/>
  <c r="BZ24" i="26" s="1"/>
  <c r="BU24" i="26"/>
  <c r="CB24" i="26" s="1"/>
  <c r="BT24" i="26"/>
  <c r="CA24" i="26" s="1"/>
  <c r="AZ98" i="26"/>
  <c r="BU98" i="26"/>
  <c r="CB98" i="26" s="1"/>
  <c r="BT98" i="26"/>
  <c r="CA98" i="26" s="1"/>
  <c r="BS98" i="26"/>
  <c r="BZ98" i="26" s="1"/>
  <c r="AZ145" i="26"/>
  <c r="BT145" i="26"/>
  <c r="CA145" i="26" s="1"/>
  <c r="BU145" i="26"/>
  <c r="CB145" i="26" s="1"/>
  <c r="BS145" i="26"/>
  <c r="BZ145" i="26" s="1"/>
  <c r="AZ33" i="26"/>
  <c r="BT33" i="26"/>
  <c r="CA33" i="26" s="1"/>
  <c r="BU33" i="26"/>
  <c r="CB33" i="26" s="1"/>
  <c r="BS33" i="26"/>
  <c r="BZ33" i="26" s="1"/>
  <c r="AZ67" i="26"/>
  <c r="BS67" i="26"/>
  <c r="BZ67" i="26" s="1"/>
  <c r="BT67" i="26"/>
  <c r="CA67" i="26" s="1"/>
  <c r="BU67" i="26"/>
  <c r="CB67" i="26" s="1"/>
  <c r="AZ32" i="26"/>
  <c r="BU32" i="26"/>
  <c r="CB32" i="26" s="1"/>
  <c r="BS32" i="26"/>
  <c r="BZ32" i="26" s="1"/>
  <c r="BT32" i="26"/>
  <c r="CA32" i="26" s="1"/>
  <c r="AZ34" i="26"/>
  <c r="BU34" i="26"/>
  <c r="CB34" i="26" s="1"/>
  <c r="BT34" i="26"/>
  <c r="CA34" i="26" s="1"/>
  <c r="BS34" i="26"/>
  <c r="BZ34" i="26" s="1"/>
  <c r="AZ19" i="26"/>
  <c r="BU19" i="26"/>
  <c r="CB19" i="26" s="1"/>
  <c r="BS19" i="26"/>
  <c r="BZ19" i="26" s="1"/>
  <c r="BT19" i="26"/>
  <c r="CA19" i="26" s="1"/>
  <c r="AZ79" i="26"/>
  <c r="BS79" i="26"/>
  <c r="BZ79" i="26" s="1"/>
  <c r="BT79" i="26"/>
  <c r="CA79" i="26" s="1"/>
  <c r="BU79" i="26"/>
  <c r="CB79" i="26" s="1"/>
  <c r="AZ130" i="26"/>
  <c r="BT130" i="26"/>
  <c r="CA130" i="26" s="1"/>
  <c r="BU130" i="26"/>
  <c r="CB130" i="26" s="1"/>
  <c r="BS130" i="26"/>
  <c r="BZ130" i="26" s="1"/>
  <c r="AZ68" i="26"/>
  <c r="BT68" i="26"/>
  <c r="CA68" i="26" s="1"/>
  <c r="BU68" i="26"/>
  <c r="CB68" i="26" s="1"/>
  <c r="BS68" i="26"/>
  <c r="BZ68" i="26" s="1"/>
  <c r="AZ113" i="26"/>
  <c r="BS113" i="26"/>
  <c r="BZ113" i="26" s="1"/>
  <c r="BT113" i="26"/>
  <c r="CA113" i="26" s="1"/>
  <c r="BU113" i="26"/>
  <c r="CB113" i="26" s="1"/>
  <c r="AZ176" i="26"/>
  <c r="BU176" i="26"/>
  <c r="CB176" i="26" s="1"/>
  <c r="BT176" i="26"/>
  <c r="CA176" i="26" s="1"/>
  <c r="BS176" i="26"/>
  <c r="BZ176" i="26" s="1"/>
  <c r="AZ148" i="26"/>
  <c r="BS148" i="26"/>
  <c r="BZ148" i="26" s="1"/>
  <c r="BU148" i="26"/>
  <c r="CB148" i="26" s="1"/>
  <c r="BT148" i="26"/>
  <c r="CA148" i="26" s="1"/>
  <c r="AZ158" i="26"/>
  <c r="BU158" i="26"/>
  <c r="CB158" i="26" s="1"/>
  <c r="BS158" i="26"/>
  <c r="BZ158" i="26" s="1"/>
  <c r="BT158" i="26"/>
  <c r="CA158" i="26" s="1"/>
  <c r="AZ41" i="26"/>
  <c r="BS41" i="26"/>
  <c r="BZ41" i="26" s="1"/>
  <c r="BT41" i="26"/>
  <c r="CA41" i="26" s="1"/>
  <c r="BU41" i="26"/>
  <c r="CB41" i="26" s="1"/>
  <c r="AZ44" i="26"/>
  <c r="BS44" i="26"/>
  <c r="BZ44" i="26" s="1"/>
  <c r="BU44" i="26"/>
  <c r="CB44" i="26" s="1"/>
  <c r="BT44" i="26"/>
  <c r="CA44" i="26" s="1"/>
  <c r="AZ39" i="26"/>
  <c r="BU39" i="26"/>
  <c r="CB39" i="26" s="1"/>
  <c r="BT39" i="26"/>
  <c r="CA39" i="26" s="1"/>
  <c r="BS39" i="26"/>
  <c r="BZ39" i="26" s="1"/>
  <c r="AZ18" i="26"/>
  <c r="BT18" i="26"/>
  <c r="CA18" i="26" s="1"/>
  <c r="BU18" i="26"/>
  <c r="CB18" i="26" s="1"/>
  <c r="BS18" i="26"/>
  <c r="BZ18" i="26" s="1"/>
  <c r="AZ13" i="26"/>
  <c r="BT13" i="26"/>
  <c r="CA13" i="26" s="1"/>
  <c r="BS13" i="26"/>
  <c r="BZ13" i="26" s="1"/>
  <c r="BU13" i="26"/>
  <c r="CB13" i="26" s="1"/>
  <c r="AZ99" i="26"/>
  <c r="BT99" i="26"/>
  <c r="CA99" i="26" s="1"/>
  <c r="BU99" i="26"/>
  <c r="CB99" i="26" s="1"/>
  <c r="BS99" i="26"/>
  <c r="BZ99" i="26" s="1"/>
  <c r="AZ168" i="26"/>
  <c r="BT168" i="26"/>
  <c r="CA168" i="26" s="1"/>
  <c r="BU168" i="26"/>
  <c r="CB168" i="26" s="1"/>
  <c r="BS168" i="26"/>
  <c r="BZ168" i="26" s="1"/>
  <c r="AZ43" i="26"/>
  <c r="BS43" i="26"/>
  <c r="BZ43" i="26" s="1"/>
  <c r="BT43" i="26"/>
  <c r="CA43" i="26" s="1"/>
  <c r="BU43" i="26"/>
  <c r="CB43" i="26" s="1"/>
  <c r="AZ25" i="26"/>
  <c r="BT25" i="26"/>
  <c r="CA25" i="26" s="1"/>
  <c r="BU25" i="26"/>
  <c r="CB25" i="26" s="1"/>
  <c r="BS25" i="26"/>
  <c r="BZ25" i="26" s="1"/>
  <c r="AZ162" i="26"/>
  <c r="BS162" i="26"/>
  <c r="BZ162" i="26" s="1"/>
  <c r="BU162" i="26"/>
  <c r="CB162" i="26" s="1"/>
  <c r="BT162" i="26"/>
  <c r="CA162" i="26" s="1"/>
  <c r="AZ109" i="26"/>
  <c r="BT109" i="26"/>
  <c r="CA109" i="26" s="1"/>
  <c r="BU109" i="26"/>
  <c r="CB109" i="26" s="1"/>
  <c r="BS109" i="26"/>
  <c r="BZ109" i="26" s="1"/>
  <c r="AZ163" i="26"/>
  <c r="BS163" i="26"/>
  <c r="BZ163" i="26" s="1"/>
  <c r="BT163" i="26"/>
  <c r="CA163" i="26" s="1"/>
  <c r="BU163" i="26"/>
  <c r="CB163" i="26" s="1"/>
  <c r="AZ117" i="26"/>
  <c r="BS117" i="26"/>
  <c r="BZ117" i="26" s="1"/>
  <c r="BU117" i="26"/>
  <c r="CB117" i="26" s="1"/>
  <c r="BT117" i="26"/>
  <c r="CA117" i="26" s="1"/>
  <c r="AZ50" i="26"/>
  <c r="BT50" i="26"/>
  <c r="CA50" i="26" s="1"/>
  <c r="BU50" i="26"/>
  <c r="CB50" i="26" s="1"/>
  <c r="BS50" i="26"/>
  <c r="BZ50" i="26" s="1"/>
  <c r="AZ152" i="26"/>
  <c r="BU152" i="26"/>
  <c r="CB152" i="26" s="1"/>
  <c r="BS152" i="26"/>
  <c r="BZ152" i="26" s="1"/>
  <c r="BT152" i="26"/>
  <c r="CA152" i="26" s="1"/>
  <c r="AZ173" i="26"/>
  <c r="BT173" i="26"/>
  <c r="CA173" i="26" s="1"/>
  <c r="BU173" i="26"/>
  <c r="CB173" i="26" s="1"/>
  <c r="BS173" i="26"/>
  <c r="BZ173" i="26" s="1"/>
  <c r="AZ179" i="26"/>
  <c r="BS179" i="26"/>
  <c r="BZ179" i="26" s="1"/>
  <c r="BT179" i="26"/>
  <c r="CA179" i="26" s="1"/>
  <c r="BU179" i="26"/>
  <c r="CB179" i="26" s="1"/>
  <c r="AZ30" i="26"/>
  <c r="BT30" i="26"/>
  <c r="CA30" i="26" s="1"/>
  <c r="BU30" i="26"/>
  <c r="CB30" i="26" s="1"/>
  <c r="BS30" i="26"/>
  <c r="BZ30" i="26" s="1"/>
  <c r="AZ35" i="26"/>
  <c r="BT35" i="26"/>
  <c r="CA35" i="26" s="1"/>
  <c r="BU35" i="26"/>
  <c r="CB35" i="26" s="1"/>
  <c r="BS35" i="26"/>
  <c r="BZ35" i="26" s="1"/>
  <c r="AZ15" i="26"/>
  <c r="BT15" i="26"/>
  <c r="CA15" i="26" s="1"/>
  <c r="BU15" i="26"/>
  <c r="CB15" i="26" s="1"/>
  <c r="BS15" i="26"/>
  <c r="BZ15" i="26" s="1"/>
  <c r="AZ74" i="26"/>
  <c r="BU74" i="26"/>
  <c r="CB74" i="26" s="1"/>
  <c r="BS74" i="26"/>
  <c r="BZ74" i="26" s="1"/>
  <c r="BT74" i="26"/>
  <c r="CA74" i="26" s="1"/>
  <c r="AZ31" i="26"/>
  <c r="BT31" i="26"/>
  <c r="CA31" i="26" s="1"/>
  <c r="BU31" i="26"/>
  <c r="CB31" i="26" s="1"/>
  <c r="BS31" i="26"/>
  <c r="BZ31" i="26" s="1"/>
  <c r="AZ116" i="26"/>
  <c r="BS116" i="26"/>
  <c r="BZ116" i="26" s="1"/>
  <c r="BU116" i="26"/>
  <c r="CB116" i="26" s="1"/>
  <c r="BT116" i="26"/>
  <c r="CA116" i="26" s="1"/>
  <c r="AZ46" i="26"/>
  <c r="BS46" i="26"/>
  <c r="BZ46" i="26" s="1"/>
  <c r="BU46" i="26"/>
  <c r="CB46" i="26" s="1"/>
  <c r="BT46" i="26"/>
  <c r="CA46" i="26" s="1"/>
  <c r="BU7" i="26"/>
  <c r="CB7" i="26" s="1"/>
  <c r="BT7" i="26"/>
  <c r="CA7" i="26" s="1"/>
  <c r="BS7" i="26"/>
  <c r="BZ7" i="26" s="1"/>
  <c r="AZ71" i="26"/>
  <c r="BT71" i="26"/>
  <c r="CA71" i="26" s="1"/>
  <c r="BU71" i="26"/>
  <c r="CB71" i="26" s="1"/>
  <c r="BS71" i="26"/>
  <c r="BZ71" i="26" s="1"/>
  <c r="AZ72" i="26"/>
  <c r="BU72" i="26"/>
  <c r="CB72" i="26" s="1"/>
  <c r="BS72" i="26"/>
  <c r="BZ72" i="26" s="1"/>
  <c r="BT72" i="26"/>
  <c r="CA72" i="26" s="1"/>
  <c r="AZ84" i="26"/>
  <c r="BS84" i="26"/>
  <c r="BZ84" i="26" s="1"/>
  <c r="BU84" i="26"/>
  <c r="CB84" i="26" s="1"/>
  <c r="BT84" i="26"/>
  <c r="CA84" i="26" s="1"/>
  <c r="AZ159" i="26"/>
  <c r="BT159" i="26"/>
  <c r="CA159" i="26" s="1"/>
  <c r="BS159" i="26"/>
  <c r="BZ159" i="26" s="1"/>
  <c r="BU159" i="26"/>
  <c r="CB159" i="26" s="1"/>
  <c r="AZ11" i="26"/>
  <c r="BT11" i="26"/>
  <c r="CA11" i="26" s="1"/>
  <c r="BU11" i="26"/>
  <c r="CB11" i="26" s="1"/>
  <c r="BS11" i="26"/>
  <c r="BZ11" i="26" s="1"/>
  <c r="AZ17" i="26"/>
  <c r="BT17" i="26"/>
  <c r="CA17" i="26" s="1"/>
  <c r="BU17" i="26"/>
  <c r="CB17" i="26" s="1"/>
  <c r="BS17" i="26"/>
  <c r="BZ17" i="26" s="1"/>
  <c r="AZ170" i="26"/>
  <c r="BT170" i="26"/>
  <c r="CA170" i="26" s="1"/>
  <c r="BU170" i="26"/>
  <c r="CB170" i="26" s="1"/>
  <c r="BS170" i="26"/>
  <c r="BZ170" i="26" s="1"/>
  <c r="AZ22" i="26"/>
  <c r="BS22" i="26"/>
  <c r="BZ22" i="26" s="1"/>
  <c r="BU22" i="26"/>
  <c r="CB22" i="26" s="1"/>
  <c r="BT22" i="26"/>
  <c r="CA22" i="26" s="1"/>
  <c r="AZ125" i="26"/>
  <c r="BT125" i="26"/>
  <c r="CA125" i="26" s="1"/>
  <c r="BU125" i="26"/>
  <c r="CB125" i="26" s="1"/>
  <c r="BS125" i="26"/>
  <c r="BZ125" i="26" s="1"/>
  <c r="AZ169" i="26"/>
  <c r="BT169" i="26"/>
  <c r="CA169" i="26" s="1"/>
  <c r="BU169" i="26"/>
  <c r="CB169" i="26" s="1"/>
  <c r="BS169" i="26"/>
  <c r="BZ169" i="26" s="1"/>
  <c r="AZ138" i="26"/>
  <c r="BT138" i="26"/>
  <c r="CA138" i="26" s="1"/>
  <c r="BU138" i="26"/>
  <c r="CB138" i="26" s="1"/>
  <c r="BS138" i="26"/>
  <c r="BZ138" i="26" s="1"/>
  <c r="AZ150" i="26"/>
  <c r="BT150" i="26"/>
  <c r="CA150" i="26" s="1"/>
  <c r="BU150" i="26"/>
  <c r="CB150" i="26" s="1"/>
  <c r="BS150" i="26"/>
  <c r="BZ150" i="26" s="1"/>
  <c r="AZ23" i="26"/>
  <c r="BS23" i="26"/>
  <c r="BZ23" i="26" s="1"/>
  <c r="BT23" i="26"/>
  <c r="CA23" i="26" s="1"/>
  <c r="BU23" i="26"/>
  <c r="CB23" i="26" s="1"/>
  <c r="AZ132" i="26"/>
  <c r="BU132" i="26"/>
  <c r="CB132" i="26" s="1"/>
  <c r="BS132" i="26"/>
  <c r="BZ132" i="26" s="1"/>
  <c r="BT132" i="26"/>
  <c r="CA132" i="26" s="1"/>
  <c r="AZ126" i="26"/>
  <c r="BS126" i="26"/>
  <c r="BZ126" i="26" s="1"/>
  <c r="BU126" i="26"/>
  <c r="CB126" i="26" s="1"/>
  <c r="BT126" i="26"/>
  <c r="CA126" i="26" s="1"/>
  <c r="AZ66" i="26"/>
  <c r="BS66" i="26"/>
  <c r="BZ66" i="26" s="1"/>
  <c r="BU66" i="26"/>
  <c r="CB66" i="26" s="1"/>
  <c r="BT66" i="26"/>
  <c r="CA66" i="26" s="1"/>
  <c r="AZ12" i="26"/>
  <c r="BU12" i="26"/>
  <c r="CB12" i="26" s="1"/>
  <c r="BS12" i="26"/>
  <c r="BZ12" i="26" s="1"/>
  <c r="BT12" i="26"/>
  <c r="CA12" i="26" s="1"/>
  <c r="AZ149" i="26"/>
  <c r="BS149" i="26"/>
  <c r="BZ149" i="26" s="1"/>
  <c r="BT149" i="26"/>
  <c r="CA149" i="26" s="1"/>
  <c r="BU149" i="26"/>
  <c r="CB149" i="26" s="1"/>
  <c r="AZ151" i="26"/>
  <c r="BT151" i="26"/>
  <c r="CA151" i="26" s="1"/>
  <c r="BU151" i="26"/>
  <c r="CB151" i="26" s="1"/>
  <c r="BS151" i="26"/>
  <c r="BZ151" i="26" s="1"/>
  <c r="AZ36" i="26"/>
  <c r="BT36" i="26"/>
  <c r="CA36" i="26" s="1"/>
  <c r="BU36" i="26"/>
  <c r="CB36" i="26" s="1"/>
  <c r="BS36" i="26"/>
  <c r="BZ36" i="26" s="1"/>
  <c r="AZ156" i="26"/>
  <c r="BT156" i="26"/>
  <c r="CA156" i="26" s="1"/>
  <c r="BU156" i="26"/>
  <c r="CB156" i="26" s="1"/>
  <c r="BS156" i="26"/>
  <c r="BZ156" i="26" s="1"/>
  <c r="AZ177" i="26"/>
  <c r="BS177" i="26"/>
  <c r="BZ177" i="26" s="1"/>
  <c r="BT177" i="26"/>
  <c r="CA177" i="26" s="1"/>
  <c r="BU177" i="26"/>
  <c r="CB177" i="26" s="1"/>
  <c r="AZ180" i="26"/>
  <c r="BT180" i="26"/>
  <c r="CA180" i="26" s="1"/>
  <c r="BU180" i="26"/>
  <c r="CB180" i="26" s="1"/>
  <c r="BS180" i="26"/>
  <c r="BZ180" i="26" s="1"/>
  <c r="AZ10" i="26"/>
  <c r="BT10" i="26"/>
  <c r="CA10" i="26" s="1"/>
  <c r="BU10" i="26"/>
  <c r="CB10" i="26" s="1"/>
  <c r="BS10" i="26"/>
  <c r="BZ10" i="26" s="1"/>
  <c r="AZ128" i="26"/>
  <c r="BS128" i="26"/>
  <c r="BZ128" i="26" s="1"/>
  <c r="BT128" i="26"/>
  <c r="CA128" i="26" s="1"/>
  <c r="BU128" i="26"/>
  <c r="CB128" i="26" s="1"/>
  <c r="AZ119" i="26"/>
  <c r="BT119" i="26"/>
  <c r="CA119" i="26" s="1"/>
  <c r="BU119" i="26"/>
  <c r="CB119" i="26" s="1"/>
  <c r="BS119" i="26"/>
  <c r="BZ119" i="26" s="1"/>
  <c r="AZ105" i="26"/>
  <c r="BT105" i="26"/>
  <c r="CA105" i="26" s="1"/>
  <c r="BU105" i="26"/>
  <c r="CB105" i="26" s="1"/>
  <c r="BS105" i="26"/>
  <c r="BZ105" i="26" s="1"/>
  <c r="AZ28" i="26"/>
  <c r="BS28" i="26"/>
  <c r="BZ28" i="26" s="1"/>
  <c r="BT28" i="26"/>
  <c r="CA28" i="26" s="1"/>
  <c r="BU28" i="26"/>
  <c r="CB28" i="26" s="1"/>
  <c r="AZ118" i="26"/>
  <c r="BT118" i="26"/>
  <c r="CA118" i="26" s="1"/>
  <c r="BU118" i="26"/>
  <c r="CB118" i="26" s="1"/>
  <c r="BS118" i="26"/>
  <c r="BZ118" i="26" s="1"/>
  <c r="AZ54" i="26"/>
  <c r="BU54" i="26"/>
  <c r="CB54" i="26" s="1"/>
  <c r="BT54" i="26"/>
  <c r="CA54" i="26" s="1"/>
  <c r="BS54" i="26"/>
  <c r="BZ54" i="26" s="1"/>
  <c r="AZ80" i="26"/>
  <c r="BT80" i="26"/>
  <c r="CA80" i="26" s="1"/>
  <c r="BU80" i="26"/>
  <c r="CB80" i="26" s="1"/>
  <c r="BS80" i="26"/>
  <c r="BZ80" i="26" s="1"/>
  <c r="AZ155" i="26"/>
  <c r="BT155" i="26"/>
  <c r="CA155" i="26" s="1"/>
  <c r="BU155" i="26"/>
  <c r="CB155" i="26" s="1"/>
  <c r="BS155" i="26"/>
  <c r="BZ155" i="26" s="1"/>
  <c r="AZ120" i="26"/>
  <c r="BT120" i="26"/>
  <c r="CA120" i="26" s="1"/>
  <c r="BU120" i="26"/>
  <c r="CB120" i="26" s="1"/>
  <c r="BS120" i="26"/>
  <c r="BZ120" i="26" s="1"/>
  <c r="AZ134" i="26"/>
  <c r="BU134" i="26"/>
  <c r="CB134" i="26" s="1"/>
  <c r="BT134" i="26"/>
  <c r="CA134" i="26" s="1"/>
  <c r="BS134" i="26"/>
  <c r="BZ134" i="26" s="1"/>
  <c r="AZ49" i="26"/>
  <c r="BU49" i="26"/>
  <c r="CB49" i="26" s="1"/>
  <c r="BS49" i="26"/>
  <c r="BZ49" i="26" s="1"/>
  <c r="BT49" i="26"/>
  <c r="CA49" i="26" s="1"/>
  <c r="AZ64" i="26"/>
  <c r="BS64" i="26"/>
  <c r="BZ64" i="26" s="1"/>
  <c r="BU64" i="26"/>
  <c r="CB64" i="26" s="1"/>
  <c r="BT64" i="26"/>
  <c r="CA64" i="26" s="1"/>
  <c r="AZ107" i="26"/>
  <c r="BS107" i="26"/>
  <c r="BZ107" i="26" s="1"/>
  <c r="BT107" i="26"/>
  <c r="CA107" i="26" s="1"/>
  <c r="BU107" i="26"/>
  <c r="CB107" i="26" s="1"/>
  <c r="AZ37" i="26"/>
  <c r="BT37" i="26"/>
  <c r="CA37" i="26" s="1"/>
  <c r="BU37" i="26"/>
  <c r="CB37" i="26" s="1"/>
  <c r="BS37" i="26"/>
  <c r="BZ37" i="26" s="1"/>
  <c r="AZ131" i="26"/>
  <c r="BT131" i="26"/>
  <c r="CA131" i="26" s="1"/>
  <c r="BU131" i="26"/>
  <c r="CB131" i="26" s="1"/>
  <c r="BS131" i="26"/>
  <c r="BZ131" i="26" s="1"/>
  <c r="AZ106" i="26"/>
  <c r="BS106" i="26"/>
  <c r="BZ106" i="26" s="1"/>
  <c r="BT106" i="26"/>
  <c r="CA106" i="26" s="1"/>
  <c r="BU106" i="26"/>
  <c r="CB106" i="26" s="1"/>
  <c r="AZ141" i="26"/>
  <c r="BS141" i="26"/>
  <c r="BZ141" i="26" s="1"/>
  <c r="BT141" i="26"/>
  <c r="CA141" i="26" s="1"/>
  <c r="BU141" i="26"/>
  <c r="CB141" i="26" s="1"/>
  <c r="AZ167" i="26"/>
  <c r="BS167" i="26"/>
  <c r="BZ167" i="26" s="1"/>
  <c r="BU167" i="26"/>
  <c r="CB167" i="26" s="1"/>
  <c r="BT167" i="26"/>
  <c r="CA167" i="26" s="1"/>
  <c r="AZ21" i="26"/>
  <c r="BS21" i="26"/>
  <c r="BZ21" i="26" s="1"/>
  <c r="BT21" i="26"/>
  <c r="CA21" i="26" s="1"/>
  <c r="BU21" i="26"/>
  <c r="CB21" i="26" s="1"/>
  <c r="AZ29" i="26"/>
  <c r="BS29" i="26"/>
  <c r="BZ29" i="26" s="1"/>
  <c r="BT29" i="26"/>
  <c r="CA29" i="26" s="1"/>
  <c r="BU29" i="26"/>
  <c r="CB29" i="26" s="1"/>
  <c r="AZ127" i="26"/>
  <c r="BS127" i="26"/>
  <c r="BZ127" i="26" s="1"/>
  <c r="BT127" i="26"/>
  <c r="CA127" i="26" s="1"/>
  <c r="BU127" i="26"/>
  <c r="CB127" i="26" s="1"/>
  <c r="AZ6" i="26"/>
  <c r="BS6" i="26"/>
  <c r="BZ6" i="26" s="1"/>
  <c r="BT6" i="26"/>
  <c r="CA6" i="26" s="1"/>
  <c r="BU6" i="26"/>
  <c r="CB6" i="26" s="1"/>
  <c r="AZ135" i="26"/>
  <c r="BT135" i="26"/>
  <c r="CA135" i="26" s="1"/>
  <c r="BU135" i="26"/>
  <c r="CB135" i="26" s="1"/>
  <c r="BS135" i="26"/>
  <c r="BZ135" i="26" s="1"/>
  <c r="AZ93" i="26"/>
  <c r="BT93" i="26"/>
  <c r="CA93" i="26" s="1"/>
  <c r="BU93" i="26"/>
  <c r="CB93" i="26" s="1"/>
  <c r="BS93" i="26"/>
  <c r="BZ93" i="26" s="1"/>
  <c r="AZ153" i="26"/>
  <c r="BT153" i="26"/>
  <c r="CA153" i="26" s="1"/>
  <c r="BU153" i="26"/>
  <c r="CB153" i="26" s="1"/>
  <c r="BS153" i="26"/>
  <c r="BZ153" i="26" s="1"/>
  <c r="AZ160" i="26"/>
  <c r="BT160" i="26"/>
  <c r="CA160" i="26" s="1"/>
  <c r="BU160" i="26"/>
  <c r="CB160" i="26" s="1"/>
  <c r="BS160" i="26"/>
  <c r="BZ160" i="26" s="1"/>
  <c r="AZ53" i="26"/>
  <c r="BT53" i="26"/>
  <c r="CA53" i="26" s="1"/>
  <c r="BU53" i="26"/>
  <c r="CB53" i="26" s="1"/>
  <c r="BS53" i="26"/>
  <c r="BZ53" i="26" s="1"/>
  <c r="AZ26" i="26"/>
  <c r="BS26" i="26"/>
  <c r="BZ26" i="26" s="1"/>
  <c r="BU26" i="26"/>
  <c r="CB26" i="26" s="1"/>
  <c r="BT26" i="26"/>
  <c r="CA26" i="26" s="1"/>
  <c r="AZ142" i="26"/>
  <c r="BS142" i="26"/>
  <c r="BZ142" i="26" s="1"/>
  <c r="BU142" i="26"/>
  <c r="CB142" i="26" s="1"/>
  <c r="BT142" i="26"/>
  <c r="CA142" i="26" s="1"/>
  <c r="AZ154" i="26"/>
  <c r="BU154" i="26"/>
  <c r="CB154" i="26" s="1"/>
  <c r="BT154" i="26"/>
  <c r="CA154" i="26" s="1"/>
  <c r="BS154" i="26"/>
  <c r="BZ154" i="26" s="1"/>
  <c r="AZ111" i="26"/>
  <c r="BT111" i="26"/>
  <c r="CA111" i="26" s="1"/>
  <c r="BU111" i="26"/>
  <c r="CB111" i="26" s="1"/>
  <c r="BS111" i="26"/>
  <c r="BZ111" i="26" s="1"/>
  <c r="AZ166" i="26"/>
  <c r="BS166" i="26"/>
  <c r="BZ166" i="26" s="1"/>
  <c r="BU166" i="26"/>
  <c r="CB166" i="26" s="1"/>
  <c r="BT166" i="26"/>
  <c r="CA166" i="26" s="1"/>
  <c r="AZ146" i="26"/>
  <c r="BS146" i="26"/>
  <c r="BZ146" i="26" s="1"/>
  <c r="BT146" i="26"/>
  <c r="CA146" i="26" s="1"/>
  <c r="BU146" i="26"/>
  <c r="CB146" i="26" s="1"/>
  <c r="AZ47" i="26"/>
  <c r="BS47" i="26"/>
  <c r="BZ47" i="26" s="1"/>
  <c r="BU47" i="26"/>
  <c r="CB47" i="26" s="1"/>
  <c r="BT47" i="26"/>
  <c r="CA47" i="26" s="1"/>
  <c r="AZ129" i="26"/>
  <c r="BS129" i="26"/>
  <c r="BZ129" i="26" s="1"/>
  <c r="BT129" i="26"/>
  <c r="CA129" i="26" s="1"/>
  <c r="BU129" i="26"/>
  <c r="CB129" i="26" s="1"/>
  <c r="AZ14" i="26"/>
  <c r="BU14" i="26"/>
  <c r="CB14" i="26" s="1"/>
  <c r="BS14" i="26"/>
  <c r="BZ14" i="26" s="1"/>
  <c r="BT14" i="26"/>
  <c r="CA14" i="26" s="1"/>
  <c r="AZ137" i="26"/>
  <c r="BT137" i="26"/>
  <c r="CA137" i="26" s="1"/>
  <c r="BU137" i="26"/>
  <c r="CB137" i="26" s="1"/>
  <c r="BS137" i="26"/>
  <c r="BZ137" i="26" s="1"/>
  <c r="AZ48" i="26"/>
  <c r="BS48" i="26"/>
  <c r="BZ48" i="26" s="1"/>
  <c r="BT48" i="26"/>
  <c r="CA48" i="26" s="1"/>
  <c r="BU48" i="26"/>
  <c r="CB48" i="26" s="1"/>
  <c r="AZ171" i="26"/>
  <c r="BT171" i="26"/>
  <c r="CA171" i="26" s="1"/>
  <c r="BU171" i="26"/>
  <c r="CB171" i="26" s="1"/>
  <c r="BS171" i="26"/>
  <c r="BZ171" i="26" s="1"/>
  <c r="AZ143" i="26"/>
  <c r="BS143" i="26"/>
  <c r="BZ143" i="26" s="1"/>
  <c r="BT143" i="26"/>
  <c r="CA143" i="26" s="1"/>
  <c r="BU143" i="26"/>
  <c r="CB143" i="26" s="1"/>
  <c r="AZ8" i="26"/>
  <c r="BS8" i="26"/>
  <c r="BZ8" i="26" s="1"/>
  <c r="BT8" i="26"/>
  <c r="CA8" i="26" s="1"/>
  <c r="BU8" i="26"/>
  <c r="CB8" i="26" s="1"/>
  <c r="AZ139" i="26"/>
  <c r="BT139" i="26"/>
  <c r="CA139" i="26" s="1"/>
  <c r="BU139" i="26"/>
  <c r="CB139" i="26" s="1"/>
  <c r="BS139" i="26"/>
  <c r="BZ139" i="26" s="1"/>
  <c r="AZ27" i="26"/>
  <c r="BS27" i="26"/>
  <c r="BZ27" i="26" s="1"/>
  <c r="BT27" i="26"/>
  <c r="CA27" i="26" s="1"/>
  <c r="BU27" i="26"/>
  <c r="CB27" i="26" s="1"/>
  <c r="AZ73" i="26"/>
  <c r="BT73" i="26"/>
  <c r="CA73" i="26" s="1"/>
  <c r="BU73" i="26"/>
  <c r="CB73" i="26" s="1"/>
  <c r="BS73" i="26"/>
  <c r="BZ73" i="26" s="1"/>
  <c r="AZ112" i="26"/>
  <c r="BU112" i="26"/>
  <c r="CB112" i="26" s="1"/>
  <c r="BS112" i="26"/>
  <c r="BZ112" i="26" s="1"/>
  <c r="BT112" i="26"/>
  <c r="CA112" i="26" s="1"/>
  <c r="AZ140" i="26"/>
  <c r="BT140" i="26"/>
  <c r="CA140" i="26" s="1"/>
  <c r="BU140" i="26"/>
  <c r="CB140" i="26" s="1"/>
  <c r="BS140" i="26"/>
  <c r="BZ140" i="26" s="1"/>
  <c r="AZ52" i="26"/>
  <c r="BU52" i="26"/>
  <c r="CB52" i="26" s="1"/>
  <c r="BS52" i="26"/>
  <c r="BZ52" i="26" s="1"/>
  <c r="BT52" i="26"/>
  <c r="CA52" i="26" s="1"/>
  <c r="AZ144" i="26"/>
  <c r="BS144" i="26"/>
  <c r="BZ144" i="26" s="1"/>
  <c r="BU144" i="26"/>
  <c r="CB144" i="26" s="1"/>
  <c r="BT144" i="26"/>
  <c r="CA144" i="26" s="1"/>
  <c r="AZ178" i="26"/>
  <c r="BS178" i="26"/>
  <c r="BZ178" i="26" s="1"/>
  <c r="BT178" i="26"/>
  <c r="CA178" i="26" s="1"/>
  <c r="BU178" i="26"/>
  <c r="CB178" i="26" s="1"/>
  <c r="AZ121" i="26"/>
  <c r="BS121" i="26"/>
  <c r="BZ121" i="26" s="1"/>
  <c r="BT121" i="26"/>
  <c r="CA121" i="26" s="1"/>
  <c r="BU121" i="26"/>
  <c r="CB121" i="26" s="1"/>
  <c r="AZ45" i="26"/>
  <c r="BT45" i="26"/>
  <c r="CA45" i="26" s="1"/>
  <c r="BU45" i="26"/>
  <c r="CB45" i="26" s="1"/>
  <c r="BS45" i="26"/>
  <c r="BZ45" i="26" s="1"/>
  <c r="AZ9" i="26"/>
  <c r="BS9" i="26"/>
  <c r="BZ9" i="26" s="1"/>
  <c r="BT9" i="26"/>
  <c r="CA9" i="26" s="1"/>
  <c r="BU9" i="26"/>
  <c r="CB9" i="26" s="1"/>
  <c r="AZ108" i="26"/>
  <c r="BU108" i="26"/>
  <c r="CB108" i="26" s="1"/>
  <c r="BT108" i="26"/>
  <c r="CA108" i="26" s="1"/>
  <c r="BS108" i="26"/>
  <c r="BZ108" i="26" s="1"/>
  <c r="AZ55" i="26"/>
  <c r="BT55" i="26"/>
  <c r="CA55" i="26" s="1"/>
  <c r="BU55" i="26"/>
  <c r="CB55" i="26" s="1"/>
  <c r="BS55" i="26"/>
  <c r="BZ55" i="26" s="1"/>
  <c r="AZ164" i="26"/>
  <c r="BS164" i="26"/>
  <c r="BZ164" i="26" s="1"/>
  <c r="BU164" i="26"/>
  <c r="CB164" i="26" s="1"/>
  <c r="BT164" i="26"/>
  <c r="CA164" i="26" s="1"/>
  <c r="BO19" i="26"/>
  <c r="BO23" i="26"/>
  <c r="BO28" i="26"/>
  <c r="BA87" i="26"/>
  <c r="BO87" i="26" s="1"/>
  <c r="AY87" i="26"/>
  <c r="BA82" i="26"/>
  <c r="BO82" i="26" s="1"/>
  <c r="AY82" i="26"/>
  <c r="BA103" i="26"/>
  <c r="BO103" i="26" s="1"/>
  <c r="AY103" i="26"/>
  <c r="BA78" i="26"/>
  <c r="BO78" i="26" s="1"/>
  <c r="AY78" i="26"/>
  <c r="BA92" i="26"/>
  <c r="BO92" i="26" s="1"/>
  <c r="AY92" i="26"/>
  <c r="BO128" i="26"/>
  <c r="BA91" i="26"/>
  <c r="BO91" i="26" s="1"/>
  <c r="AY91" i="26"/>
  <c r="BA75" i="26"/>
  <c r="BO75" i="26" s="1"/>
  <c r="AY75" i="26"/>
  <c r="BO112" i="26"/>
  <c r="BA86" i="26"/>
  <c r="BO86" i="26" s="1"/>
  <c r="AY86" i="26"/>
  <c r="BA77" i="26"/>
  <c r="BO77" i="26" s="1"/>
  <c r="AY77" i="26"/>
  <c r="BA147" i="26"/>
  <c r="BO147" i="26" s="1"/>
  <c r="AY147" i="26"/>
  <c r="BA60" i="26"/>
  <c r="BO60" i="26" s="1"/>
  <c r="AY60" i="26"/>
  <c r="BA88" i="26"/>
  <c r="BO88" i="26" s="1"/>
  <c r="AY88" i="26"/>
  <c r="BA175" i="26"/>
  <c r="BO175" i="26" s="1"/>
  <c r="AY175" i="26"/>
  <c r="BA38" i="26"/>
  <c r="BO38" i="26" s="1"/>
  <c r="AY38" i="26"/>
  <c r="BO51" i="26"/>
  <c r="BA101" i="26"/>
  <c r="BO101" i="26" s="1"/>
  <c r="AY101" i="26"/>
  <c r="BA65" i="26"/>
  <c r="BO65" i="26" s="1"/>
  <c r="AY65" i="26"/>
  <c r="BA94" i="26"/>
  <c r="BO94" i="26" s="1"/>
  <c r="AY94" i="26"/>
  <c r="BA85" i="26"/>
  <c r="BO85" i="26" s="1"/>
  <c r="AY85" i="26"/>
  <c r="BA104" i="26"/>
  <c r="BO104" i="26" s="1"/>
  <c r="AY104" i="26"/>
  <c r="BA90" i="26"/>
  <c r="BO90" i="26" s="1"/>
  <c r="AY90" i="26"/>
  <c r="BA122" i="26"/>
  <c r="BO122" i="26" s="1"/>
  <c r="AY122" i="26"/>
  <c r="BA157" i="26"/>
  <c r="BO157" i="26" s="1"/>
  <c r="AY157" i="26"/>
  <c r="BA57" i="26"/>
  <c r="BO57" i="26" s="1"/>
  <c r="AY57" i="26"/>
  <c r="BA81" i="26"/>
  <c r="BO81" i="26" s="1"/>
  <c r="AY81" i="26"/>
  <c r="BA76" i="26"/>
  <c r="BO76" i="26" s="1"/>
  <c r="AY76" i="26"/>
  <c r="BA96" i="26"/>
  <c r="BO96" i="26" s="1"/>
  <c r="AY96" i="26"/>
  <c r="BA61" i="26"/>
  <c r="BO61" i="26" s="1"/>
  <c r="AY61" i="26"/>
  <c r="BO70" i="26"/>
  <c r="BA100" i="26"/>
  <c r="BO100" i="26" s="1"/>
  <c r="AY100" i="26"/>
  <c r="BA62" i="26"/>
  <c r="BO62" i="26" s="1"/>
  <c r="AY62" i="26"/>
  <c r="BA95" i="26"/>
  <c r="BO95" i="26" s="1"/>
  <c r="AY95" i="26"/>
  <c r="BA40" i="26"/>
  <c r="BO40" i="26" s="1"/>
  <c r="AY40" i="26"/>
  <c r="BA56" i="26"/>
  <c r="BO56" i="26" s="1"/>
  <c r="AY56" i="26"/>
  <c r="BA89" i="26"/>
  <c r="BO89" i="26" s="1"/>
  <c r="AY89" i="26"/>
  <c r="BU59" i="26" l="1"/>
  <c r="CB59" i="26" s="1"/>
  <c r="BS59" i="26"/>
  <c r="BZ59" i="26" s="1"/>
  <c r="BT59" i="26"/>
  <c r="CA59" i="26" s="1"/>
  <c r="BS58" i="26"/>
  <c r="BZ58" i="26" s="1"/>
  <c r="BU58" i="26"/>
  <c r="CB58" i="26" s="1"/>
  <c r="BT58" i="26"/>
  <c r="CA58" i="26" s="1"/>
  <c r="BU5" i="26"/>
  <c r="BS5" i="26"/>
  <c r="BT5" i="26"/>
  <c r="AZ62" i="26"/>
  <c r="BS62" i="26"/>
  <c r="BZ62" i="26" s="1"/>
  <c r="BU62" i="26"/>
  <c r="CB62" i="26" s="1"/>
  <c r="BT62" i="26"/>
  <c r="CA62" i="26" s="1"/>
  <c r="AZ87" i="26"/>
  <c r="BT87" i="26"/>
  <c r="CA87" i="26" s="1"/>
  <c r="BU87" i="26"/>
  <c r="CB87" i="26" s="1"/>
  <c r="BS87" i="26"/>
  <c r="BZ87" i="26" s="1"/>
  <c r="AZ94" i="26"/>
  <c r="BU94" i="26"/>
  <c r="CB94" i="26" s="1"/>
  <c r="BS94" i="26"/>
  <c r="BZ94" i="26" s="1"/>
  <c r="BT94" i="26"/>
  <c r="CA94" i="26" s="1"/>
  <c r="AZ147" i="26"/>
  <c r="BS147" i="26"/>
  <c r="BZ147" i="26" s="1"/>
  <c r="BU147" i="26"/>
  <c r="CB147" i="26" s="1"/>
  <c r="BT147" i="26"/>
  <c r="CA147" i="26" s="1"/>
  <c r="AZ91" i="26"/>
  <c r="BT91" i="26"/>
  <c r="CA91" i="26" s="1"/>
  <c r="BU91" i="26"/>
  <c r="CB91" i="26" s="1"/>
  <c r="BS91" i="26"/>
  <c r="BZ91" i="26" s="1"/>
  <c r="AZ65" i="26"/>
  <c r="BT65" i="26"/>
  <c r="CA65" i="26" s="1"/>
  <c r="BU65" i="26"/>
  <c r="CB65" i="26" s="1"/>
  <c r="BS65" i="26"/>
  <c r="BZ65" i="26" s="1"/>
  <c r="AZ90" i="26"/>
  <c r="BT90" i="26"/>
  <c r="CA90" i="26" s="1"/>
  <c r="BU90" i="26"/>
  <c r="CB90" i="26" s="1"/>
  <c r="BS90" i="26"/>
  <c r="BZ90" i="26" s="1"/>
  <c r="AZ60" i="26"/>
  <c r="BT60" i="26"/>
  <c r="CA60" i="26" s="1"/>
  <c r="BU60" i="26"/>
  <c r="CB60" i="26" s="1"/>
  <c r="BS60" i="26"/>
  <c r="BZ60" i="26" s="1"/>
  <c r="AZ75" i="26"/>
  <c r="BT75" i="26"/>
  <c r="CA75" i="26" s="1"/>
  <c r="BU75" i="26"/>
  <c r="CB75" i="26" s="1"/>
  <c r="BS75" i="26"/>
  <c r="BZ75" i="26" s="1"/>
  <c r="AZ76" i="26"/>
  <c r="BU76" i="26"/>
  <c r="CB76" i="26" s="1"/>
  <c r="BS76" i="26"/>
  <c r="BZ76" i="26" s="1"/>
  <c r="BT76" i="26"/>
  <c r="CA76" i="26" s="1"/>
  <c r="AZ92" i="26"/>
  <c r="BU92" i="26"/>
  <c r="CB92" i="26" s="1"/>
  <c r="BS92" i="26"/>
  <c r="BZ92" i="26" s="1"/>
  <c r="BT92" i="26"/>
  <c r="CA92" i="26" s="1"/>
  <c r="AZ89" i="26"/>
  <c r="BS89" i="26"/>
  <c r="BZ89" i="26" s="1"/>
  <c r="BT89" i="26"/>
  <c r="CA89" i="26" s="1"/>
  <c r="BU89" i="26"/>
  <c r="CB89" i="26" s="1"/>
  <c r="AZ100" i="26"/>
  <c r="BT100" i="26"/>
  <c r="CA100" i="26" s="1"/>
  <c r="BU100" i="26"/>
  <c r="CB100" i="26" s="1"/>
  <c r="BS100" i="26"/>
  <c r="BZ100" i="26" s="1"/>
  <c r="AZ77" i="26"/>
  <c r="BS77" i="26"/>
  <c r="BZ77" i="26" s="1"/>
  <c r="BT77" i="26"/>
  <c r="CA77" i="26" s="1"/>
  <c r="BU77" i="26"/>
  <c r="CB77" i="26" s="1"/>
  <c r="AZ104" i="26"/>
  <c r="BS104" i="26"/>
  <c r="BZ104" i="26" s="1"/>
  <c r="BU104" i="26"/>
  <c r="CB104" i="26" s="1"/>
  <c r="BT104" i="26"/>
  <c r="CA104" i="26" s="1"/>
  <c r="AZ56" i="26"/>
  <c r="BT56" i="26"/>
  <c r="CA56" i="26" s="1"/>
  <c r="BU56" i="26"/>
  <c r="CB56" i="26" s="1"/>
  <c r="BS56" i="26"/>
  <c r="BZ56" i="26" s="1"/>
  <c r="AZ157" i="26"/>
  <c r="BS157" i="26"/>
  <c r="BZ157" i="26" s="1"/>
  <c r="BU157" i="26"/>
  <c r="CB157" i="26" s="1"/>
  <c r="BT157" i="26"/>
  <c r="CA157" i="26" s="1"/>
  <c r="AZ175" i="26"/>
  <c r="BT175" i="26"/>
  <c r="CA175" i="26" s="1"/>
  <c r="BU175" i="26"/>
  <c r="CB175" i="26" s="1"/>
  <c r="BS175" i="26"/>
  <c r="BZ175" i="26" s="1"/>
  <c r="AZ61" i="26"/>
  <c r="BS61" i="26"/>
  <c r="BZ61" i="26" s="1"/>
  <c r="BT61" i="26"/>
  <c r="CA61" i="26" s="1"/>
  <c r="BU61" i="26"/>
  <c r="CB61" i="26" s="1"/>
  <c r="AZ103" i="26"/>
  <c r="BS103" i="26"/>
  <c r="BZ103" i="26" s="1"/>
  <c r="BT103" i="26"/>
  <c r="CA103" i="26" s="1"/>
  <c r="BU103" i="26"/>
  <c r="CB103" i="26" s="1"/>
  <c r="AZ96" i="26"/>
  <c r="BT96" i="26"/>
  <c r="CA96" i="26" s="1"/>
  <c r="BS96" i="26"/>
  <c r="BZ96" i="26" s="1"/>
  <c r="BU96" i="26"/>
  <c r="CB96" i="26" s="1"/>
  <c r="AZ81" i="26"/>
  <c r="BS81" i="26"/>
  <c r="BZ81" i="26" s="1"/>
  <c r="BT81" i="26"/>
  <c r="CA81" i="26" s="1"/>
  <c r="BU81" i="26"/>
  <c r="CB81" i="26" s="1"/>
  <c r="AZ57" i="26"/>
  <c r="BS57" i="26"/>
  <c r="BZ57" i="26" s="1"/>
  <c r="BT57" i="26"/>
  <c r="CA57" i="26" s="1"/>
  <c r="BU57" i="26"/>
  <c r="CB57" i="26" s="1"/>
  <c r="AZ38" i="26"/>
  <c r="BS38" i="26"/>
  <c r="BZ38" i="26" s="1"/>
  <c r="BT38" i="26"/>
  <c r="CA38" i="26" s="1"/>
  <c r="BU38" i="26"/>
  <c r="CB38" i="26" s="1"/>
  <c r="AZ40" i="26"/>
  <c r="BT40" i="26"/>
  <c r="CA40" i="26" s="1"/>
  <c r="BU40" i="26"/>
  <c r="CB40" i="26" s="1"/>
  <c r="BS40" i="26"/>
  <c r="BZ40" i="26" s="1"/>
  <c r="AZ85" i="26"/>
  <c r="BT85" i="26"/>
  <c r="CA85" i="26" s="1"/>
  <c r="BU85" i="26"/>
  <c r="CB85" i="26" s="1"/>
  <c r="BS85" i="26"/>
  <c r="BZ85" i="26" s="1"/>
  <c r="AZ122" i="26"/>
  <c r="BS122" i="26"/>
  <c r="BZ122" i="26" s="1"/>
  <c r="BU122" i="26"/>
  <c r="CB122" i="26" s="1"/>
  <c r="BT122" i="26"/>
  <c r="CA122" i="26" s="1"/>
  <c r="AZ88" i="26"/>
  <c r="BT88" i="26"/>
  <c r="CA88" i="26" s="1"/>
  <c r="BU88" i="26"/>
  <c r="CB88" i="26" s="1"/>
  <c r="BS88" i="26"/>
  <c r="BZ88" i="26" s="1"/>
  <c r="AZ101" i="26"/>
  <c r="BS101" i="26"/>
  <c r="BZ101" i="26" s="1"/>
  <c r="BT101" i="26"/>
  <c r="CA101" i="26" s="1"/>
  <c r="BU101" i="26"/>
  <c r="CB101" i="26" s="1"/>
  <c r="AZ86" i="26"/>
  <c r="BS86" i="26"/>
  <c r="BZ86" i="26" s="1"/>
  <c r="BT86" i="26"/>
  <c r="CA86" i="26" s="1"/>
  <c r="BU86" i="26"/>
  <c r="CB86" i="26" s="1"/>
  <c r="AZ78" i="26"/>
  <c r="BS78" i="26"/>
  <c r="BZ78" i="26" s="1"/>
  <c r="BT78" i="26"/>
  <c r="CA78" i="26" s="1"/>
  <c r="BU78" i="26"/>
  <c r="CB78" i="26" s="1"/>
  <c r="AZ95" i="26"/>
  <c r="BT95" i="26"/>
  <c r="CA95" i="26" s="1"/>
  <c r="BU95" i="26"/>
  <c r="CB95" i="26" s="1"/>
  <c r="BS95" i="26"/>
  <c r="BZ95" i="26" s="1"/>
  <c r="AZ82" i="26"/>
  <c r="BS82" i="26"/>
  <c r="BZ82" i="26" s="1"/>
  <c r="BU82" i="26"/>
  <c r="CB82" i="26" s="1"/>
  <c r="BT82" i="26"/>
  <c r="CA82" i="26" s="1"/>
  <c r="CA5" i="26" l="1"/>
  <c r="CA182" i="26" s="1"/>
  <c r="BT181" i="26"/>
  <c r="BZ5" i="26"/>
  <c r="BZ181" i="26" s="1"/>
  <c r="BS181" i="26"/>
  <c r="CB5" i="26"/>
  <c r="CB181" i="26" s="1"/>
  <c r="BU181"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Druon, Louis</author>
  </authors>
  <commentList>
    <comment ref="BF1" authorId="0" shapeId="0" xr:uid="{777AA552-3528-4306-A65B-5BD928EC0911}">
      <text>
        <r>
          <rPr>
            <b/>
            <sz val="9"/>
            <color indexed="81"/>
            <rFont val="Tahoma"/>
            <family val="2"/>
          </rPr>
          <t>Druon, Louis:</t>
        </r>
        <r>
          <rPr>
            <sz val="9"/>
            <color indexed="81"/>
            <rFont val="Tahoma"/>
            <family val="2"/>
          </rPr>
          <t xml:space="preserve">
Revoir le scoring (seulement celles détéctées)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<sst xmlns="http://schemas.openxmlformats.org/spreadsheetml/2006/main" count="5557" uniqueCount="2588">
  <si>
    <t>Etape 1 ((ECO)TOX + PHYSICO-CHIMIQUE)</t>
  </si>
  <si>
    <t>Catégories</t>
  </si>
  <si>
    <t>Etape 2 (QUANTITE)</t>
  </si>
  <si>
    <t>Etape 3 (Occurence)</t>
  </si>
  <si>
    <t>Récapitulatif</t>
  </si>
  <si>
    <t>Paramètres (éco)toxicologiques</t>
  </si>
  <si>
    <t>Scoring (éco)tox</t>
  </si>
  <si>
    <t>Mobilité</t>
  </si>
  <si>
    <t>Scoring mobilité</t>
  </si>
  <si>
    <t>Total scoring  A (intermédiaire)</t>
  </si>
  <si>
    <t>Total scoring étape 1</t>
  </si>
  <si>
    <t>Quantité (ECHA)</t>
  </si>
  <si>
    <t>Total scoring B</t>
  </si>
  <si>
    <t>Production</t>
  </si>
  <si>
    <t>Biomonitoring (substance analysée)</t>
  </si>
  <si>
    <t>Scoring analyse</t>
  </si>
  <si>
    <t>Biomonitoring (substance détectée)</t>
  </si>
  <si>
    <t>Total scoring détection</t>
  </si>
  <si>
    <t>Déjà détéctée (OUI ou NON)</t>
  </si>
  <si>
    <t>Valeurs log(Koc)</t>
  </si>
  <si>
    <t>Valeurs solubilité</t>
  </si>
  <si>
    <t>Etape 1</t>
  </si>
  <si>
    <t>Etape 2</t>
  </si>
  <si>
    <t>Etape 3</t>
  </si>
  <si>
    <t xml:space="preserve">Sélection finale </t>
  </si>
  <si>
    <t>id</t>
  </si>
  <si>
    <t>Famille</t>
  </si>
  <si>
    <t>Nom_ECHA</t>
  </si>
  <si>
    <t>Acronyme_autre_nom</t>
  </si>
  <si>
    <t>EC/List number</t>
  </si>
  <si>
    <t>n_cas</t>
  </si>
  <si>
    <t>Formule chimique</t>
  </si>
  <si>
    <t>Formule SMILES</t>
  </si>
  <si>
    <t>Group</t>
  </si>
  <si>
    <t>Subgroup</t>
  </si>
  <si>
    <t>Manufactered in and / or imported to the European Economic Area (ECHA)</t>
  </si>
  <si>
    <t>POP List</t>
  </si>
  <si>
    <t>Priority list EU</t>
  </si>
  <si>
    <t>NORMAN List</t>
  </si>
  <si>
    <t>REACH list (SVHC, Authorisation, Restriction)</t>
  </si>
  <si>
    <t>PNN</t>
  </si>
  <si>
    <t>Watch list</t>
  </si>
  <si>
    <t>PBT/ vPvB</t>
  </si>
  <si>
    <t>Ready biodegradability</t>
  </si>
  <si>
    <t>Perturbateur Endocrinien</t>
  </si>
  <si>
    <t>Phrases H</t>
  </si>
  <si>
    <t>Cancerogene</t>
  </si>
  <si>
    <t>phys6_solubilité_eau</t>
  </si>
  <si>
    <t>phys7_pression_de_vapeur</t>
  </si>
  <si>
    <t>phys8_constante_henry</t>
  </si>
  <si>
    <t>phys11_log_kow</t>
  </si>
  <si>
    <t>phys11_T</t>
  </si>
  <si>
    <t>phys12_log_koc</t>
  </si>
  <si>
    <t>phys12_coefficient_partage_carbone organique_eau_Koc</t>
  </si>
  <si>
    <t>phys20_temperature d'ébullition</t>
  </si>
  <si>
    <t>H350</t>
  </si>
  <si>
    <t>H360</t>
  </si>
  <si>
    <t>H340</t>
  </si>
  <si>
    <t>H351</t>
  </si>
  <si>
    <t>H361</t>
  </si>
  <si>
    <t>H362</t>
  </si>
  <si>
    <t>H341</t>
  </si>
  <si>
    <t>H372</t>
  </si>
  <si>
    <t>H410</t>
  </si>
  <si>
    <t>H373</t>
  </si>
  <si>
    <t>H411</t>
  </si>
  <si>
    <t>Laboratoires</t>
  </si>
  <si>
    <t>X si au dessus de 0,4</t>
  </si>
  <si>
    <t>X si au dessus de 0,5</t>
  </si>
  <si>
    <t>X si au dessus de 0,6</t>
  </si>
  <si>
    <t>X si catégories D ou E</t>
  </si>
  <si>
    <t>X si déjà détécté dans les biomonitorings</t>
  </si>
  <si>
    <t>Sélection (&gt;0,4)</t>
  </si>
  <si>
    <t>Sélection</t>
  </si>
  <si>
    <t>Sélection (&gt;0,6)</t>
  </si>
  <si>
    <t>Retardateurs de flamme</t>
  </si>
  <si>
    <t>2,4,6-Tribromophenol</t>
  </si>
  <si>
    <t>/</t>
  </si>
  <si>
    <t>204-278-6</t>
  </si>
  <si>
    <t>118-79-6</t>
  </si>
  <si>
    <t xml:space="preserve">	
C6H3Br3O</t>
  </si>
  <si>
    <t>C1=C(C=C(C(=C1Br)O)Br)Br</t>
  </si>
  <si>
    <t xml:space="preserve">Brominated </t>
  </si>
  <si>
    <t>Brominated cycloalkanes, alcohols, phosphates, triazine triones, diphenyl ethers and diphenyl alkyls (flame retardants related substances)</t>
  </si>
  <si>
    <t>≥ 100 to &lt; 1000 tonnes per annum</t>
  </si>
  <si>
    <t>X</t>
  </si>
  <si>
    <t>Not readily biodegradable</t>
  </si>
  <si>
    <t>H317 / H319 / H400</t>
  </si>
  <si>
    <t>N/A</t>
  </si>
  <si>
    <t>59 mg/L (25 °C)</t>
  </si>
  <si>
    <t>0,042 Pa (25 °C)</t>
  </si>
  <si>
    <t>0,0048 	Pa m3/mol (25°C)</t>
  </si>
  <si>
    <t>3,7 - 3,89</t>
  </si>
  <si>
    <t xml:space="preserve">N/A </t>
  </si>
  <si>
    <t>2,906 - 3,376 </t>
  </si>
  <si>
    <t>244 °C</t>
  </si>
  <si>
    <t>3,376 </t>
  </si>
  <si>
    <t>tonnes/an</t>
  </si>
  <si>
    <t>Bio monitoring “European Human Dashboard »</t>
  </si>
  <si>
    <t>NON</t>
  </si>
  <si>
    <t>2,4,6-tris(2,4,6- tribromophenoxy)-1,3,5-triazine</t>
  </si>
  <si>
    <t>Tris(tribromophenoxy)triazine / FR-245</t>
  </si>
  <si>
    <t>426-040-2</t>
  </si>
  <si>
    <t>25713-60-4</t>
  </si>
  <si>
    <t>C21H6Br9N3O3</t>
  </si>
  <si>
    <t>BrC1=CC(Br)=C(OC2=NC(OC3=C(Br)C=C(Br)C=C3Br)=NC(OC3=C(Br)C=C(Br)C=C3Br)=N2)C(Br)=C1</t>
  </si>
  <si>
    <t>≥ 1000 tonnes per annum</t>
  </si>
  <si>
    <t>Not inherently biodegradable</t>
  </si>
  <si>
    <t>Not Classified</t>
  </si>
  <si>
    <t xml:space="preserve">0,001 mg/L (20°C) </t>
  </si>
  <si>
    <t>0 Pa (25°C)</t>
  </si>
  <si>
    <t>0,0733266 Pa·m^3/mol</t>
  </si>
  <si>
    <t>8,63</t>
  </si>
  <si>
    <t>5</t>
  </si>
  <si>
    <t>100000</t>
  </si>
  <si>
    <t>631  °C</t>
  </si>
  <si>
    <t>Decabromodiphenyl oxide</t>
  </si>
  <si>
    <t>DecaBDE / BDE 209</t>
  </si>
  <si>
    <t>214-604-9</t>
  </si>
  <si>
    <t>1163-19-5</t>
  </si>
  <si>
    <t xml:space="preserve">	
C12Br10O</t>
  </si>
  <si>
    <t>C1(=C(C(=C(C(=C1Br)Br)Br)Br)Br)OC2=C(C(=C(C(=C2Br)Br)Br)Br)Br</t>
  </si>
  <si>
    <t>NK</t>
  </si>
  <si>
    <t>0,0001 mg/L (25 °C)</t>
  </si>
  <si>
    <t>0 Pa (21°C)</t>
  </si>
  <si>
    <t>0,002 Pa m³/mol (25°C)</t>
  </si>
  <si>
    <t>6,27</t>
  </si>
  <si>
    <t>5,18</t>
  </si>
  <si>
    <t>530 to 590°C</t>
  </si>
  <si>
    <t>DAS
 Bio monitoring “European Human Dashboard »</t>
  </si>
  <si>
    <t xml:space="preserve">
 Bio monitoring “European Human Dashboard »</t>
  </si>
  <si>
    <t>OUI</t>
  </si>
  <si>
    <t>EUROFINS,  SERVACO</t>
  </si>
  <si>
    <t>Diphenyl ether, octabromo derivative</t>
  </si>
  <si>
    <t>OctaBDE</t>
  </si>
  <si>
    <t>251-087-9</t>
  </si>
  <si>
    <t>32536-52-0</t>
  </si>
  <si>
    <t>C12H2Br8O</t>
  </si>
  <si>
    <t>C1=C(C(=C(C(=C1Br)Br)Br)Br)OC2=CC(=C(C(=C2Br)Br)Br)Br</t>
  </si>
  <si>
    <t xml:space="preserve">&gt;1 million - 10 million </t>
  </si>
  <si>
    <t>H360Df</t>
  </si>
  <si>
    <t>0,005 mg/L (25 °C)</t>
  </si>
  <si>
    <t>0,00000659 Pa (21°C)</t>
  </si>
  <si>
    <t>8,61 Pa·m³/mol</t>
  </si>
  <si>
    <t>6,29</t>
  </si>
  <si>
    <t>1950</t>
  </si>
  <si>
    <t>258°C</t>
  </si>
  <si>
    <t>10 000 000</t>
  </si>
  <si>
    <t>DAS ; BioPro</t>
  </si>
  <si>
    <t>BioPro</t>
  </si>
  <si>
    <t>EUROFINS</t>
  </si>
  <si>
    <t xml:space="preserve">DECABROMODIPHENYLETHANE </t>
  </si>
  <si>
    <t>DBDPE</t>
  </si>
  <si>
    <t>284-366-9</t>
  </si>
  <si>
    <t>84852-53-9</t>
  </si>
  <si>
    <t xml:space="preserve">	
C14H4Br10</t>
  </si>
  <si>
    <t>C(CC1=C(C(=C(C(=C1Br)Br)Br)Br)Br)C2=C(C(=C(C(=C2Br)Br)Br)Br)Br</t>
  </si>
  <si>
    <t xml:space="preserve">≥ 10000 to &lt; 100000 tonnes per annum </t>
  </si>
  <si>
    <t>0,00072 mg/L (25 °C)</t>
  </si>
  <si>
    <t>0 Pa ( 20°C)</t>
  </si>
  <si>
    <t>0 Pa m³/mol (25°C)</t>
  </si>
  <si>
    <t xml:space="preserve">
3,55</t>
  </si>
  <si>
    <t>23700</t>
  </si>
  <si>
    <t>530°C</t>
  </si>
  <si>
    <t>SERVACO</t>
  </si>
  <si>
    <t>2,3-dibromopropan-1-ol (2,3-DBPA)</t>
  </si>
  <si>
    <t>DBP / Brominex 257</t>
  </si>
  <si>
    <t>202-480-9</t>
  </si>
  <si>
    <t>96-13-9</t>
  </si>
  <si>
    <t>C3H6Br2O</t>
  </si>
  <si>
    <t>OCC(Br)CBr</t>
  </si>
  <si>
    <t>intermediate use</t>
  </si>
  <si>
    <t>H302/ H311/ H332/ H350/ H412/ H361f</t>
  </si>
  <si>
    <t>K</t>
  </si>
  <si>
    <t>52000 mg/L (25°C)</t>
  </si>
  <si>
    <t>11,99 Pa (25°C)</t>
  </si>
  <si>
    <t>0,0064 Pa·m³/mol</t>
  </si>
  <si>
    <t>1,07</t>
  </si>
  <si>
    <t>39,8</t>
  </si>
  <si>
    <t>219°C</t>
  </si>
  <si>
    <t xml:space="preserve">2,2-bis(bromomethyl)propa ne-1,3-diol </t>
  </si>
  <si>
    <t>BMP</t>
  </si>
  <si>
    <t>221-967-7</t>
  </si>
  <si>
    <t>3296-90-0</t>
  </si>
  <si>
    <t>C5H10Br2O2</t>
  </si>
  <si>
    <t xml:space="preserve">
OCC(CO)(CBr)CBr</t>
  </si>
  <si>
    <t>≥ 1 to &lt; 10 tonnes per annum</t>
  </si>
  <si>
    <t>Inherently biodegradable</t>
  </si>
  <si>
    <t>H340 / H350</t>
  </si>
  <si>
    <t xml:space="preserve">less than 1000 mg/L (20°C) </t>
  </si>
  <si>
    <t>0,002 Pa  (25°C)</t>
  </si>
  <si>
    <t>0,023165725 Pa·m³/mol</t>
  </si>
  <si>
    <t>1,08</t>
  </si>
  <si>
    <t>17,8 at 20°C</t>
  </si>
  <si>
    <t>270°C</t>
  </si>
  <si>
    <t>1,2,5,6,9,10-hexabromocyclodecane</t>
  </si>
  <si>
    <t>Hexabromocyclododecane, 1,2,5,6,9,10-</t>
  </si>
  <si>
    <t>221-695-9</t>
  </si>
  <si>
    <t>3194-55-6</t>
  </si>
  <si>
    <t xml:space="preserve">
C12H18Br6</t>
  </si>
  <si>
    <t>C1C[C@H]([C@H](CC[C@H]([C@@H](CC[C@@H]([C@@H]1Br)Br)Br)Br)Br)Br</t>
  </si>
  <si>
    <t>H361 /H362/ H400/ H410</t>
  </si>
  <si>
    <t xml:space="preserve">0,0656 mg/L (20°C) </t>
  </si>
  <si>
    <t>0 Pa ( 21°C)</t>
  </si>
  <si>
    <t>312,57975 Pa·m³/mol</t>
  </si>
  <si>
    <t>5625</t>
  </si>
  <si>
    <t>2610000</t>
  </si>
  <si>
    <t>421°C</t>
  </si>
  <si>
    <t>Hexabromocyclododecane (HBCDD)</t>
  </si>
  <si>
    <t>HBCDD</t>
  </si>
  <si>
    <t>247-148-4</t>
  </si>
  <si>
    <t>25637-99-4</t>
  </si>
  <si>
    <t>C12H18Br6</t>
  </si>
  <si>
    <t>C1CCCCC(C(C(CCCC1)(Br)Br)(Br)Br)(Br)Br</t>
  </si>
  <si>
    <t>&gt;10000 to 50000</t>
  </si>
  <si>
    <t>0,0656 mg/L (20°C)</t>
  </si>
  <si>
    <t>0,75 Pa m³/mol</t>
  </si>
  <si>
    <t>5,625</t>
  </si>
  <si>
    <t>4,6</t>
  </si>
  <si>
    <t>264°C</t>
  </si>
  <si>
    <t>Bio monitoring “European Human Dashboard » ; VVM ; BXL-Envi</t>
  </si>
  <si>
    <t xml:space="preserve"> VVM ; BXL-Envi</t>
  </si>
  <si>
    <t>Alpha-hexabromocyclododeca ne (α-HBCDD)</t>
  </si>
  <si>
    <t>α-Hexabromocyclododecane</t>
  </si>
  <si>
    <t>603-801-9</t>
  </si>
  <si>
    <t>134237-50-6</t>
  </si>
  <si>
    <t>0,1166734 mg/L</t>
  </si>
  <si>
    <t>3,1179e-5 Pa</t>
  </si>
  <si>
    <t>6,41</t>
  </si>
  <si>
    <t>7590</t>
  </si>
  <si>
    <t>418°C</t>
  </si>
  <si>
    <t>VVM</t>
  </si>
  <si>
    <t>Beta-hexabromocyclododecane</t>
  </si>
  <si>
    <t>β-Hexabromocyclododecane</t>
  </si>
  <si>
    <t>603-802-4</t>
  </si>
  <si>
    <t>134237-51-7</t>
  </si>
  <si>
    <t>H315 / H319 / H335</t>
  </si>
  <si>
    <t xml:space="preserve">Gamma-hexabromocyclododeca </t>
  </si>
  <si>
    <t>γ-Hexabromocyclododecane</t>
  </si>
  <si>
    <t>603-804-5</t>
  </si>
  <si>
    <t>134237-52-8</t>
  </si>
  <si>
    <t>C1C[C@H]([C@H](CC[C@@H]([C@@H](CC[C@H]([C@@H]1Br)Br)Br)Br)Br)Br</t>
  </si>
  <si>
    <t>0,1169 mg/L</t>
  </si>
  <si>
    <t>1,1-bis(bromomethyl)cyclopropane</t>
  </si>
  <si>
    <t>805-270-0</t>
  </si>
  <si>
    <t>29086-41-7</t>
  </si>
  <si>
    <t xml:space="preserve">
C5H8Br2</t>
  </si>
  <si>
    <t>BrCC1(CBr)CC1</t>
  </si>
  <si>
    <t>intermediate use only</t>
  </si>
  <si>
    <t xml:space="preserve">H360 </t>
  </si>
  <si>
    <t xml:space="preserve">230 mg/L (30°C) </t>
  </si>
  <si>
    <t>259,7239 Pa</t>
  </si>
  <si>
    <t>127,8225 Pa·m³/mol</t>
  </si>
  <si>
    <t>3,21</t>
  </si>
  <si>
    <t>912</t>
  </si>
  <si>
    <t>191°C</t>
  </si>
  <si>
    <t>Intermédiaire</t>
  </si>
  <si>
    <t>1,1'-[ethane-1,2-diylbisoxy]bis[2,4,6-tribromobenzene]</t>
  </si>
  <si>
    <t>1,2-Bis(2,4,6-tribromophenoxy)ethane</t>
  </si>
  <si>
    <t>253-692-3</t>
  </si>
  <si>
    <t>37853-59-1</t>
  </si>
  <si>
    <t>C14H8Br6O2</t>
  </si>
  <si>
    <t>C1=C(C=C(C(=C1Br)OCCOC2=C(C=C(C=C2Br)Br)Br)Br)Br</t>
  </si>
  <si>
    <t>0,0116254 mg/L</t>
  </si>
  <si>
    <t>4,635576e-7 Pa</t>
  </si>
  <si>
    <t>1083,3575 Pa·m³/mol</t>
  </si>
  <si>
    <t>7,76</t>
  </si>
  <si>
    <t>214000</t>
  </si>
  <si>
    <t>492°C</t>
  </si>
  <si>
    <t>2,2',6,6'-tetrabromo-4,4'-isopropylidenediphenol (TBBPA - tetrabromobisphenol A)</t>
  </si>
  <si>
    <t>201-236-9 (TBBPA)</t>
  </si>
  <si>
    <t>79-94-7</t>
  </si>
  <si>
    <t>C15H12Br4O2</t>
  </si>
  <si>
    <t>CC(C)(C1=CC(Br)=C(O)C(Br)=C1)C1=CC(Br)=C(O)C(Br)=C1</t>
  </si>
  <si>
    <t>TBBPA and its derivates</t>
  </si>
  <si>
    <t>≥ 10 000 to &lt; 100000 tonnes per annum</t>
  </si>
  <si>
    <t>H351 / H400 / H410</t>
  </si>
  <si>
    <t>0,0351 - 1,260 mg/L at 12 - 25 °C</t>
  </si>
  <si>
    <t>0 Pa (20 °C)</t>
  </si>
  <si>
    <t>0,054 Pa m3/mol</t>
  </si>
  <si>
    <t xml:space="preserve">5,903 - 6,31 </t>
  </si>
  <si>
    <t>12 - 25 °C</t>
  </si>
  <si>
    <t>416869</t>
  </si>
  <si>
    <t>316 °C</t>
  </si>
  <si>
    <t>Biodien ; Bio monitoring “European Human Dashboard »</t>
  </si>
  <si>
    <t>Biodien</t>
  </si>
  <si>
    <t xml:space="preserve">1,1'-(isopropylidene)bis[3,5-dibromo-4-(2,3-dibromopropoxy)benzene] </t>
  </si>
  <si>
    <t>TBBA / BDDP</t>
  </si>
  <si>
    <t>244-617-5</t>
  </si>
  <si>
    <t>21850-44-2</t>
  </si>
  <si>
    <t xml:space="preserve">
C21H20Br8O2</t>
  </si>
  <si>
    <t>CC(C)(C1=CC(=C(C(=C1)Br)OCC(CBr)Br)Br)C2=CC(=C(C(=C2)Br)OCC(CBr)Br)Br</t>
  </si>
  <si>
    <t>≥ 1000 to &lt; 10000 tonnes per annum</t>
  </si>
  <si>
    <t>0,000144 mg/L (20°C)</t>
  </si>
  <si>
    <t>0,029 Pa (20°C)</t>
  </si>
  <si>
    <t>7,2</t>
  </si>
  <si>
    <t>426600 at 20°C</t>
  </si>
  <si>
    <t>589°C</t>
  </si>
  <si>
    <t>1,1'- (isopropylidene)bis [3,5-dibromo-4- (2,3-dibromo-2- methylpropoxy)benzene]</t>
  </si>
  <si>
    <t>AP 1300 S / Ecoflame B-972 / FR130</t>
  </si>
  <si>
    <t>306-832-3</t>
  </si>
  <si>
    <t>97416-84-7</t>
  </si>
  <si>
    <t>C23H24Br8O2</t>
  </si>
  <si>
    <t>CC(Br)(CBr)COC1=C(Br)C=C(C=C1Br)C(C)(C)C1=CC(Br)=C(OCC(C)(Br)CBr)C(Br)=C1</t>
  </si>
  <si>
    <t>≥ 1 000 to &lt; 10 000 tonnes per annum</t>
  </si>
  <si>
    <t>0,02 mg/L (20°C)</t>
  </si>
  <si>
    <t>0 Pa m³ / mol (25°C)</t>
  </si>
  <si>
    <t>12,42</t>
  </si>
  <si>
    <t>13470000 at 20°C</t>
  </si>
  <si>
    <t>646,88 to 660,89°C</t>
  </si>
  <si>
    <t>10 000</t>
  </si>
  <si>
    <t>Bis(2-ethylhexyl) tetrabromophthalate</t>
  </si>
  <si>
    <t>UNIPLEX FRP 45</t>
  </si>
  <si>
    <t>247-426-5</t>
  </si>
  <si>
    <t>26040-51-7</t>
  </si>
  <si>
    <t xml:space="preserve">
C24H34Br4O4</t>
  </si>
  <si>
    <t>CCCCC(CC)COC(=O)C1=C(C(=O)OCC(CC)CCCC)C(Br)=C(Br)C(Br)=C1Br</t>
  </si>
  <si>
    <t>Brominated phthalates</t>
  </si>
  <si>
    <t>≥ 100 to &lt; 1 000 tonnes per annum</t>
  </si>
  <si>
    <t>H319</t>
  </si>
  <si>
    <t>0,794 mg/L (20°C)</t>
  </si>
  <si>
    <t>3,56E-7 Pa (25°C)</t>
  </si>
  <si>
    <t>8,6197755e-2 Pa·m³/mol</t>
  </si>
  <si>
    <t>10,2</t>
  </si>
  <si>
    <t>19952623 at 20°C</t>
  </si>
  <si>
    <t>&gt;300°C</t>
  </si>
  <si>
    <t>1 000</t>
  </si>
  <si>
    <t>Trixylyl phosphate</t>
  </si>
  <si>
    <t>TXP / Fyrquel EHC-N / Syn-O-Ad 8475M</t>
  </si>
  <si>
    <t>246-677-8</t>
  </si>
  <si>
    <t>25155-23-1</t>
  </si>
  <si>
    <t xml:space="preserve">	
C24H27O4P</t>
  </si>
  <si>
    <t>Organophosphorous</t>
  </si>
  <si>
    <t>Triphenylphosphate derivatives</t>
  </si>
  <si>
    <t>H360f / H373 / H400 / H410</t>
  </si>
  <si>
    <t>0 Pa (20°C)</t>
  </si>
  <si>
    <t>6,38</t>
  </si>
  <si>
    <t>119941 at 20°C</t>
  </si>
  <si>
    <t>394,1°C</t>
  </si>
  <si>
    <t>Triphenyl phosphate</t>
  </si>
  <si>
    <t>204-112-2</t>
  </si>
  <si>
    <t>115-86-6</t>
  </si>
  <si>
    <t>C18H15O4P</t>
  </si>
  <si>
    <t>O=P(OC1=CC=CC=C1)(OC1=CC=CC=C1)OC1=CC=CC=C1</t>
  </si>
  <si>
    <t>≥ 100 tonnes per annum</t>
  </si>
  <si>
    <t>Readily biodegradable</t>
  </si>
  <si>
    <t>H400 / H410</t>
  </si>
  <si>
    <t>1,9 mg/L (20 °C)</t>
  </si>
  <si>
    <t>0,001 Pa (25 °C)</t>
  </si>
  <si>
    <t>0,004 Pa m³/mol (25 °C)</t>
  </si>
  <si>
    <t xml:space="preserve">4,6 </t>
  </si>
  <si>
    <t>20 °C</t>
  </si>
  <si>
    <t>413,85 °C</t>
  </si>
  <si>
    <t xml:space="preserve">Tris(methylphenyl) phosphate </t>
  </si>
  <si>
    <t>TCP / Disflamoll TKP / PX 3843 / Durad 125</t>
  </si>
  <si>
    <t>809-930-9</t>
  </si>
  <si>
    <t>1330-78-5</t>
  </si>
  <si>
    <t>≥ 1 000 to &lt; 10000 tonnes per annum</t>
  </si>
  <si>
    <t>H361/ H400/ H410</t>
  </si>
  <si>
    <t>0,271 mg/L (20°C)</t>
  </si>
  <si>
    <t>5,93</t>
  </si>
  <si>
    <t>20489 at 20°C</t>
  </si>
  <si>
    <t>400°C</t>
  </si>
  <si>
    <t>Phenol, isopropylated, phosphate (3:1)</t>
  </si>
  <si>
    <t>Roflex / Phosflex / Syn-o-ad 9578 / Durad</t>
  </si>
  <si>
    <t>273-066-3</t>
  </si>
  <si>
    <t>68937-41-7</t>
  </si>
  <si>
    <t>C27H33O4P</t>
  </si>
  <si>
    <t>H361/ H373/ H410</t>
  </si>
  <si>
    <t>0,33 mg/L (20°C)</t>
  </si>
  <si>
    <t>4,92</t>
  </si>
  <si>
    <t>8511 at 20°C</t>
  </si>
  <si>
    <t>Tetrakis(hydroxymethyl)phosphonium sulphate(2:1)</t>
  </si>
  <si>
    <t>THPS</t>
  </si>
  <si>
    <t>259-709-0</t>
  </si>
  <si>
    <t>55566-30-8</t>
  </si>
  <si>
    <t>C8H24O12P2S</t>
  </si>
  <si>
    <t>[O-]S([O-])(=O)=O.OC[P+](CO)(CO)CO.OC[P+](CO)(CO)CO</t>
  </si>
  <si>
    <t>Tetrahydroxymethyl and tetraalkyl phosphonium salts</t>
  </si>
  <si>
    <t>≥ 10 to &lt; 100 tonnes per annum</t>
  </si>
  <si>
    <t>H302 / H317 / H318 / H330 / H361 / H400 / H411</t>
  </si>
  <si>
    <t>37 700 000 mg/L (21 °C)</t>
  </si>
  <si>
    <t xml:space="preserve"> 1,01325 Pa·m³/mol</t>
  </si>
  <si>
    <t>-9,8</t>
  </si>
  <si>
    <t>153 at 20°C</t>
  </si>
  <si>
    <t>108,5 °C</t>
  </si>
  <si>
    <t xml:space="preserve">37 700 000 </t>
  </si>
  <si>
    <t>Tris(2-chloroethyl) phosphate</t>
  </si>
  <si>
    <t>TCEP / Ethanol, 2-chloro-, phosphate (3:1)</t>
  </si>
  <si>
    <t>204-118-5</t>
  </si>
  <si>
    <t>115-96-8</t>
  </si>
  <si>
    <t>C6H12Cl3O4P</t>
  </si>
  <si>
    <t>C(CCl)OP(=O)(OCCCl)OCCCl</t>
  </si>
  <si>
    <t xml:space="preserve">Chlorinated trialkylphosphates </t>
  </si>
  <si>
    <t>H302/ H351 / H360f / H411</t>
  </si>
  <si>
    <t>7820 mg/L (20°C)</t>
  </si>
  <si>
    <t>8,166 Pa  (25°C)</t>
  </si>
  <si>
    <t>4,155e-05 Pa m³/mol</t>
  </si>
  <si>
    <t>1,7</t>
  </si>
  <si>
    <t>40,6</t>
  </si>
  <si>
    <t>330°C</t>
  </si>
  <si>
    <t>Tris(2-chloro-1-methylethyl) phosphate</t>
  </si>
  <si>
    <t>TCPP</t>
  </si>
  <si>
    <t>237-158-7</t>
  </si>
  <si>
    <t>13674-84-5</t>
  </si>
  <si>
    <t>C9H18Cl3O4P</t>
  </si>
  <si>
    <t>CC(CCl)OP(=O)(OC(C)CCl)OC(C)CCl</t>
  </si>
  <si>
    <t>Chlorinated trialkylphosphates</t>
  </si>
  <si>
    <t>Not currently being manufactured in and / or imported to the European Economic Area</t>
  </si>
  <si>
    <t>H302</t>
  </si>
  <si>
    <t>1080 mg/L (25 °C)</t>
  </si>
  <si>
    <t>0,04431525 Pa·m³/mol</t>
  </si>
  <si>
    <t>2,68</t>
  </si>
  <si>
    <t>229</t>
  </si>
  <si>
    <t>235 to 248 °C</t>
  </si>
  <si>
    <t>Etudes de sol Wallonie</t>
  </si>
  <si>
    <t>Reaction products of phosphoryl trichloride and methyloxirane</t>
  </si>
  <si>
    <t>Antiblaze / TCPP</t>
  </si>
  <si>
    <t>807-935-0</t>
  </si>
  <si>
    <t>1244733-77-4</t>
  </si>
  <si>
    <t>≥ 10000 to &lt; 100000 tonnes per annum</t>
  </si>
  <si>
    <t>H302 / H351 / H412</t>
  </si>
  <si>
    <t>1080 mg/L (20°C)</t>
  </si>
  <si>
    <t>0,001 Pa (25°C)</t>
  </si>
  <si>
    <t>0 - 0,006 Pa m³/mol (25°C)</t>
  </si>
  <si>
    <t>324,2 at 20°C</t>
  </si>
  <si>
    <t>288°C</t>
  </si>
  <si>
    <t>tris[2-chloro-1-(chloromethyl)ethyl] phosphate</t>
  </si>
  <si>
    <t>FR2 / TDCP</t>
  </si>
  <si>
    <t>237-159-2</t>
  </si>
  <si>
    <t>13674-87-8</t>
  </si>
  <si>
    <t>C9H15Cl6O4P</t>
  </si>
  <si>
    <t>H351 / H410</t>
  </si>
  <si>
    <t>18,1 mg/L (20°C)</t>
  </si>
  <si>
    <t>0 Pa m³/mol-1 (25°C)</t>
  </si>
  <si>
    <t>3,69</t>
  </si>
  <si>
    <t>1 780 at 20°C</t>
  </si>
  <si>
    <t>326°C</t>
  </si>
  <si>
    <t>Triethyl phosphate</t>
  </si>
  <si>
    <t>TEP</t>
  </si>
  <si>
    <t>201-114-5</t>
  </si>
  <si>
    <t>78-40-0</t>
  </si>
  <si>
    <t>C6H15O4P</t>
  </si>
  <si>
    <t>CCOP(=O)(OCC)OCC</t>
  </si>
  <si>
    <t>Trialkyl phosphates</t>
  </si>
  <si>
    <t>H302 / H319</t>
  </si>
  <si>
    <t>500000 mg/L (25°C)</t>
  </si>
  <si>
    <t>52 Pa (25°C)</t>
  </si>
  <si>
    <t>0,00365 m³/mol-1 (20°C)</t>
  </si>
  <si>
    <t>0,8</t>
  </si>
  <si>
    <t>65</t>
  </si>
  <si>
    <t>215 °C</t>
  </si>
  <si>
    <t>Tris(2-ethylhexyl) phosphate</t>
  </si>
  <si>
    <t>201-116-6</t>
  </si>
  <si>
    <t>78-42-2</t>
  </si>
  <si>
    <t>C24H51O4P</t>
  </si>
  <si>
    <t>CCCCC(CC)COP(=O)(OCC(CC)CCCC)OCC(CC)CCCC</t>
  </si>
  <si>
    <t xml:space="preserve">
H315 / H319</t>
  </si>
  <si>
    <t>0,00000014 mg/L (20 °C)</t>
  </si>
  <si>
    <t>2,40E-6 atm-m3/mole</t>
  </si>
  <si>
    <t>6,26</t>
  </si>
  <si>
    <t>Tris(2-butoxyethyl) phosphate</t>
  </si>
  <si>
    <t>TBOP; TBEP; TBXP</t>
  </si>
  <si>
    <t>201-122-9</t>
  </si>
  <si>
    <t>78-51-3</t>
  </si>
  <si>
    <t xml:space="preserve">
C18H39O7P</t>
  </si>
  <si>
    <t>CCCCOCCOP(=O)(OCCOCCCC)OCCOCCCC</t>
  </si>
  <si>
    <t>Ethoxylated alcohol phosphates and phosphinic acid derivatives</t>
  </si>
  <si>
    <t>663,5 mg/L (20°C)</t>
  </si>
  <si>
    <t>0 Pa m³/mol-1</t>
  </si>
  <si>
    <t>3,75</t>
  </si>
  <si>
    <t>299,2 at 20°C</t>
  </si>
  <si>
    <t xml:space="preserve">215 - 228°C </t>
  </si>
  <si>
    <t>1,6,7,8,9,14,15,16,17,17,18,18-dodecachloropentacyclo[12.2.1.16,9.02,13.05,10]octadeca-7,15-diene</t>
  </si>
  <si>
    <t>Dechlorane Plus® Grades</t>
  </si>
  <si>
    <t>236-948-9</t>
  </si>
  <si>
    <t>13560-89-9</t>
  </si>
  <si>
    <t xml:space="preserve">	
C18H12Cl12</t>
  </si>
  <si>
    <t>Chlorinated</t>
  </si>
  <si>
    <t>Chloroalkenes</t>
  </si>
  <si>
    <t>0,00000167 mg/L (20°C)</t>
  </si>
  <si>
    <t>0,001 Pa (20°C)</t>
  </si>
  <si>
    <t>5,8084375 Pa·m³/mol</t>
  </si>
  <si>
    <t>9 - 11,27</t>
  </si>
  <si>
    <t>100000000 at 20°C</t>
  </si>
  <si>
    <t>478°C</t>
  </si>
  <si>
    <t>Paraffin waxes and Hydrocarbon waxes, chloro</t>
  </si>
  <si>
    <t>CERECLOR / Chlorinated paraffin /Chlorowax / Hordaflex / LCCP</t>
  </si>
  <si>
    <t>264-150-0</t>
  </si>
  <si>
    <t>63449-39-8</t>
  </si>
  <si>
    <t>C24H44Cl6</t>
  </si>
  <si>
    <t>CCCC(CCCC(CCC(CCC(CCC(CCCC(CCC)Cl)Cl)Cl)Cl)Cl)Cl</t>
  </si>
  <si>
    <t>0,0066 mg/L (20°C)</t>
  </si>
  <si>
    <t xml:space="preserve">5,88 - 12,83 </t>
  </si>
  <si>
    <t xml:space="preserve">6 - 10 dimensionless at 25°C </t>
  </si>
  <si>
    <t>Alkanes, C14-17, chloro</t>
  </si>
  <si>
    <t xml:space="preserve">CP-350 </t>
  </si>
  <si>
    <t>287-477-0</t>
  </si>
  <si>
    <t>85535-85-9</t>
  </si>
  <si>
    <t xml:space="preserve">	
C15H26Cl6</t>
  </si>
  <si>
    <t>H362 / H400 / H410</t>
  </si>
  <si>
    <t>0,027 mg/L (20°C)</t>
  </si>
  <si>
    <t>51,3 Pa m³/mol (20°C)</t>
  </si>
  <si>
    <t>7</t>
  </si>
  <si>
    <t>588844 at 20°C</t>
  </si>
  <si>
    <t>200°C</t>
  </si>
  <si>
    <t>Diantimony trioxide</t>
  </si>
  <si>
    <t>ATO / Antimony Trioxide TMS®-HP</t>
  </si>
  <si>
    <t>215-175-0</t>
  </si>
  <si>
    <t>1309-64-4</t>
  </si>
  <si>
    <t>O3Sb2</t>
  </si>
  <si>
    <t>O=[Sb]O[Sb]=O</t>
  </si>
  <si>
    <t>Inorganics</t>
  </si>
  <si>
    <t>Antimony compounds</t>
  </si>
  <si>
    <t>≥ 10000 tonnes per annum</t>
  </si>
  <si>
    <t>H351 / H360 / H372 / H412</t>
  </si>
  <si>
    <t>0,37 mg/L</t>
  </si>
  <si>
    <t>1,33 hPa (574 °C)</t>
  </si>
  <si>
    <t>6,23</t>
  </si>
  <si>
    <t>1425 °C</t>
  </si>
  <si>
    <t>Antimony</t>
  </si>
  <si>
    <t>231-146-5</t>
  </si>
  <si>
    <t>7440-36-0</t>
  </si>
  <si>
    <t>Sb</t>
  </si>
  <si>
    <t>[Sb]</t>
  </si>
  <si>
    <t> ≥ 10000 to &lt; 100000 tonnes per annum</t>
  </si>
  <si>
    <t>H351 / H373</t>
  </si>
  <si>
    <t>1E+47 mg/L (20°C)</t>
  </si>
  <si>
    <t>45</t>
  </si>
  <si>
    <t>&gt;600 °C</t>
  </si>
  <si>
    <t>VVM
Etudes de sol Wallonie</t>
  </si>
  <si>
    <t>Sodium hexahydroxoantimonate</t>
  </si>
  <si>
    <t>Sodium antimonate</t>
  </si>
  <si>
    <t>251-735-0</t>
  </si>
  <si>
    <t>33908-66-6</t>
  </si>
  <si>
    <t>H6NaO6Sb</t>
  </si>
  <si>
    <t>H302 / H332 / H360 / H372 / H411</t>
  </si>
  <si>
    <t>594 mg/L (20 °C)</t>
  </si>
  <si>
    <t>3266,4 Pa</t>
  </si>
  <si>
    <t>-1,38</t>
  </si>
  <si>
    <t>100 °C</t>
  </si>
  <si>
    <t>aluminium</t>
  </si>
  <si>
    <t> 231-072-3</t>
  </si>
  <si>
    <t>7429-90-5</t>
  </si>
  <si>
    <t>Al</t>
  </si>
  <si>
    <t>[AlH3]</t>
  </si>
  <si>
    <t>≥ 10000 000 tonnes per annum</t>
  </si>
  <si>
    <t>H261 / H228 / H250</t>
  </si>
  <si>
    <t>1,00E+47 mg/L (20°C)</t>
  </si>
  <si>
    <t>1514</t>
  </si>
  <si>
    <t>2450 °C</t>
  </si>
  <si>
    <t>10000 000</t>
  </si>
  <si>
    <t>N,N'-ethylenebis(3,4,5,6-tetrabromophthalimide)</t>
  </si>
  <si>
    <t>SAYTEX BT93</t>
  </si>
  <si>
    <t>251-118-6</t>
  </si>
  <si>
    <t>32588-76-4</t>
  </si>
  <si>
    <t>C18H4Br8N2O4</t>
  </si>
  <si>
    <t>BrC1=C(Br)C(Br)=C(Br)C2=C1C(=O)N(CCN1C(=O)C3=C(C1=O)C(Br)=C(Br)C(Br)=C3Br)C2=O</t>
  </si>
  <si>
    <t>0,0002 mg/L ((40°C)</t>
  </si>
  <si>
    <t>6,6969325 Pa·m³/mol</t>
  </si>
  <si>
    <t>9,797</t>
  </si>
  <si>
    <t>229000</t>
  </si>
  <si>
    <t>828°C</t>
  </si>
  <si>
    <t>Bronopol</t>
  </si>
  <si>
    <t>2-Nitro-2-bromo-1,3-propanediol</t>
  </si>
  <si>
    <t>200-143-0</t>
  </si>
  <si>
    <t>52-51-7</t>
  </si>
  <si>
    <t>C3H6BrNO4</t>
  </si>
  <si>
    <t>OCC(Br)(CO)N(=O)=O</t>
  </si>
  <si>
    <t>H301/ H312/ H315/ H318/ H331/ H335/ H400/ H410</t>
  </si>
  <si>
    <t>304000 mg/L (20°C)</t>
  </si>
  <si>
    <t>0,005 Pa (20°C)</t>
  </si>
  <si>
    <t>0,15</t>
  </si>
  <si>
    <t>10,5</t>
  </si>
  <si>
    <t>268°C</t>
  </si>
  <si>
    <t>bromomethane</t>
  </si>
  <si>
    <t>200-813-2</t>
  </si>
  <si>
    <t>74-83-9</t>
  </si>
  <si>
    <t>CH3Br</t>
  </si>
  <si>
    <t>Intermediate use only</t>
  </si>
  <si>
    <t>H301 / H315 / H319 / H331 / H335 / H341 / H373 / H400 / H420</t>
  </si>
  <si>
    <t>27997 mg/L (10°C)</t>
  </si>
  <si>
    <t>130289,81 Pa (10°C)</t>
  </si>
  <si>
    <t>334,4 m³/mol-1 (10°C)</t>
  </si>
  <si>
    <t>1,19</t>
  </si>
  <si>
    <t>157</t>
  </si>
  <si>
    <t>3,56 °C</t>
  </si>
  <si>
    <t>Bromoform</t>
  </si>
  <si>
    <t> 200-854-6</t>
  </si>
  <si>
    <t>75-25-2</t>
  </si>
  <si>
    <t>CHBr3</t>
  </si>
  <si>
    <t>C(Br)(Br)Br</t>
  </si>
  <si>
    <t>H226 / H302 / H314 / H319 / H331 / H411</t>
  </si>
  <si>
    <t>3100 mg/L (25°C)</t>
  </si>
  <si>
    <t>719,94 Pa (25°C)</t>
  </si>
  <si>
    <t>41,61 Pa m³/mol-1 (20°C)</t>
  </si>
  <si>
    <t>2,4</t>
  </si>
  <si>
    <t>121</t>
  </si>
  <si>
    <t>149,2 °C</t>
  </si>
  <si>
    <t>6-phenyl-1,3,5-triazine-2,4-diyldiamine</t>
  </si>
  <si>
    <t>Benzoguanamine</t>
  </si>
  <si>
    <t>202-095-6</t>
  </si>
  <si>
    <t>91-76-9</t>
  </si>
  <si>
    <t>C9H9N5</t>
  </si>
  <si>
    <t>NC1=NC(=NC(N)=N1)C1=CC=CC=C1</t>
  </si>
  <si>
    <t>Nitrogen-containing</t>
  </si>
  <si>
    <t>H302 / H332 / H360FD / H362 / H412</t>
  </si>
  <si>
    <t>320 mg/L (25 °C)</t>
  </si>
  <si>
    <t>0 Pa (100°C)</t>
  </si>
  <si>
    <t>1,38</t>
  </si>
  <si>
    <t>25,1</t>
  </si>
  <si>
    <t>350 °C</t>
  </si>
  <si>
    <t>1,3-dichloropropan-2-ol</t>
  </si>
  <si>
    <t>DCP</t>
  </si>
  <si>
    <t>202-491-9</t>
  </si>
  <si>
    <t>96-23-1</t>
  </si>
  <si>
    <t>C3H6Cl2O</t>
  </si>
  <si>
    <t>OC(CCl)CCl</t>
  </si>
  <si>
    <t>≥ 10 tonnes per annum</t>
  </si>
  <si>
    <t>H301 / H312 / H350</t>
  </si>
  <si>
    <t>117000 mg/L (20 °C)</t>
  </si>
  <si>
    <t>1,5 hPa (20 °C)</t>
  </si>
  <si>
    <t>0,13 Pa,m3,mol-1</t>
  </si>
  <si>
    <t xml:space="preserve">0,8 </t>
  </si>
  <si>
    <t>4,3</t>
  </si>
  <si>
    <t>174,9 °C</t>
  </si>
  <si>
    <t>Ferrocene</t>
  </si>
  <si>
    <t>Dicyclopentadienyl iron</t>
  </si>
  <si>
    <t>203-039-3</t>
  </si>
  <si>
    <t>102-54-5</t>
  </si>
  <si>
    <t>C10H10Fe</t>
  </si>
  <si>
    <t>[Fe++].[CH-]1C=CC=C1.[CH-]1C=CC=C1</t>
  </si>
  <si>
    <t>Organometallic</t>
  </si>
  <si>
    <t>H228 / H302 / H332 / H360 / H373 / H410</t>
  </si>
  <si>
    <t>7 mg/L (20 °C)</t>
  </si>
  <si>
    <t>3,4 hPa (100 °C)</t>
  </si>
  <si>
    <t>1 050</t>
  </si>
  <si>
    <t>249 °C</t>
  </si>
  <si>
    <t>2,2',2''-nitrilotriethanol</t>
  </si>
  <si>
    <t>Triethanolamine</t>
  </si>
  <si>
    <t> 203-049-8</t>
  </si>
  <si>
    <t>102-71-6</t>
  </si>
  <si>
    <t>C6H15NO3</t>
  </si>
  <si>
    <t>C(CO)N(CCO)CCO</t>
  </si>
  <si>
    <t>≥ 100000 to &lt; 1000000 tonnes per annum</t>
  </si>
  <si>
    <t>1000000 mg/L (25°C)</t>
  </si>
  <si>
    <t>0,000479 Pa (25°C)</t>
  </si>
  <si>
    <t>0 Pa,m³,mol-1 (25 °C)</t>
  </si>
  <si>
    <t>-2,3</t>
  </si>
  <si>
    <t>3,3 - 3,65</t>
  </si>
  <si>
    <t>1 979 - 4 489</t>
  </si>
  <si>
    <t>336,1 °C</t>
  </si>
  <si>
    <t>1-chloro-2,3-epoxypropane</t>
  </si>
  <si>
    <t>Epichlorhydrin</t>
  </si>
  <si>
    <t> 203-439-8</t>
  </si>
  <si>
    <t>106-89-8</t>
  </si>
  <si>
    <t>C3H5ClO</t>
  </si>
  <si>
    <t>≥ 100000 tonnes per annum</t>
  </si>
  <si>
    <t>H226 / H301 / H311 / H314 / H317 / H331 / H350</t>
  </si>
  <si>
    <t>65900 mg/L (25°C)</t>
  </si>
  <si>
    <t>2186,49 Pa (25°C)</t>
  </si>
  <si>
    <t>3,375 Pa m³/mol (25°C)</t>
  </si>
  <si>
    <t>0,45</t>
  </si>
  <si>
    <t>2,09</t>
  </si>
  <si>
    <t>123</t>
  </si>
  <si>
    <t>117 °C</t>
  </si>
  <si>
    <t>1,2-Dibromoethane</t>
  </si>
  <si>
    <t xml:space="preserve">
203-444-5</t>
  </si>
  <si>
    <t>106-93-4</t>
  </si>
  <si>
    <t xml:space="preserve">
C2H4Br2</t>
  </si>
  <si>
    <t>BrCCBr</t>
  </si>
  <si>
    <t>H301 / H311 / H315 / H319 / H331 / H335 / H350 / H411</t>
  </si>
  <si>
    <t>3931,3 mg/L - 4154,6 mg/L</t>
  </si>
  <si>
    <t>1492,0064 Pa</t>
  </si>
  <si>
    <t>65,6825 Pa·m³/mol</t>
  </si>
  <si>
    <t>1,96</t>
  </si>
  <si>
    <t>51,3</t>
  </si>
  <si>
    <t>131  °C</t>
  </si>
  <si>
    <t>BXL Envi
Etudes de sol Wallonie</t>
  </si>
  <si>
    <t>C,C'-azodi(formamide)</t>
  </si>
  <si>
    <t>Mikrofine ADC General</t>
  </si>
  <si>
    <t>204-650-8</t>
  </si>
  <si>
    <t>123-77-3</t>
  </si>
  <si>
    <t>C2H4N4O2</t>
  </si>
  <si>
    <t>C(=O)(N)/N=N/C(=O)N</t>
  </si>
  <si>
    <t>H334</t>
  </si>
  <si>
    <t>33 mg/L (20 °C)</t>
  </si>
  <si>
    <t>0,183933 Pa·m³/mol</t>
  </si>
  <si>
    <t>1</t>
  </si>
  <si>
    <t>1,3</t>
  </si>
  <si>
    <t>278°C</t>
  </si>
  <si>
    <t>Dipentaerythritol</t>
  </si>
  <si>
    <t>D-PE300</t>
  </si>
  <si>
    <t>204-794-1</t>
  </si>
  <si>
    <t>126-58-9</t>
  </si>
  <si>
    <t xml:space="preserve">	
C10H22O7</t>
  </si>
  <si>
    <t xml:space="preserve">
OCC(CO)(CO)COCC(CO)(CO)CO</t>
  </si>
  <si>
    <t>2400 mg/L (20°C)</t>
  </si>
  <si>
    <t xml:space="preserve">0 Pa </t>
  </si>
  <si>
    <t>0,00024354 Pa·m³/mol</t>
  </si>
  <si>
    <t>1,8</t>
  </si>
  <si>
    <t>33,9</t>
  </si>
  <si>
    <t>451°C</t>
  </si>
  <si>
    <t>Bromoethylene</t>
  </si>
  <si>
    <t>Vinyl bromide</t>
  </si>
  <si>
    <t>209-800-6</t>
  </si>
  <si>
    <t>593-60-2</t>
  </si>
  <si>
    <t>C2H3Br</t>
  </si>
  <si>
    <t>BrC=C</t>
  </si>
  <si>
    <t>H220 / H302 / H350</t>
  </si>
  <si>
    <t>8243,155 mg/L</t>
  </si>
  <si>
    <t>137396,6 Pa</t>
  </si>
  <si>
    <t>732,21 Pa·m³/mol</t>
  </si>
  <si>
    <t>1,57</t>
  </si>
  <si>
    <t>31,4</t>
  </si>
  <si>
    <t>15,8 °C</t>
  </si>
  <si>
    <t>1,3,5-triallyl-1,3,5-triazine-2,4,6(1H,3H,5H)-trione</t>
  </si>
  <si>
    <t>TAIC / Isocyanuric acid triallyl ester / TAICROS®</t>
  </si>
  <si>
    <t>213-834-7</t>
  </si>
  <si>
    <t>1025-15-6</t>
  </si>
  <si>
    <t>C12H15N3O3</t>
  </si>
  <si>
    <t>C=CCN1C(=O)N(CC=C)C(=O)N(CC=C)C1=O</t>
  </si>
  <si>
    <t>H302 / H312 / H373</t>
  </si>
  <si>
    <t>3500 mg/L (20 °C)</t>
  </si>
  <si>
    <t>1,92</t>
  </si>
  <si>
    <t>97,7</t>
  </si>
  <si>
    <t>311 °C</t>
  </si>
  <si>
    <t>Diboron trioxide</t>
  </si>
  <si>
    <t>Anhydrous Boric Acid / Boric oxide</t>
  </si>
  <si>
    <t>215-125-8</t>
  </si>
  <si>
    <t>1303-86-2</t>
  </si>
  <si>
    <t>B2O3</t>
  </si>
  <si>
    <t>O1B2OB1O2</t>
  </si>
  <si>
    <t>Borates</t>
  </si>
  <si>
    <t>36000 mg/L (25 °C)</t>
  </si>
  <si>
    <t>1 Pa (300°C)</t>
  </si>
  <si>
    <t>1860 °C</t>
  </si>
  <si>
    <t>Boric acid, zinc salt</t>
  </si>
  <si>
    <t>ZN 100 / Alcanex FR 100</t>
  </si>
  <si>
    <t>215-566-6</t>
  </si>
  <si>
    <t>1332-07-6</t>
  </si>
  <si>
    <t>BHO3Zn</t>
  </si>
  <si>
    <t>[Zn++].OB([O-])[O-]</t>
  </si>
  <si>
    <t>H319 / H341 / H360D /  H400 / H411</t>
  </si>
  <si>
    <t>2891 mg/L (20 °C)</t>
  </si>
  <si>
    <t>Phosphoryl trichloride</t>
  </si>
  <si>
    <t>Phosphoroxychloride</t>
  </si>
  <si>
    <t>233-046-7</t>
  </si>
  <si>
    <t>10025-87-3</t>
  </si>
  <si>
    <t>Cl3OP</t>
  </si>
  <si>
    <t>ClP(Cl)(Cl)=O</t>
  </si>
  <si>
    <t>≥ 1 tonnes per annum</t>
  </si>
  <si>
    <t>H302 / H314 / H330 / H372</t>
  </si>
  <si>
    <t>44770 mg/L</t>
  </si>
  <si>
    <t>36 hPa (20 °C)</t>
  </si>
  <si>
    <t>0,676</t>
  </si>
  <si>
    <t>105,5 °C</t>
  </si>
  <si>
    <t>Boric acid</t>
  </si>
  <si>
    <t xml:space="preserve">Optibor </t>
  </si>
  <si>
    <t>233-139-2</t>
  </si>
  <si>
    <t>10043-35-3</t>
  </si>
  <si>
    <t>BH3O3</t>
  </si>
  <si>
    <t>OB(O)O</t>
  </si>
  <si>
    <t>H360 (FD)</t>
  </si>
  <si>
    <t>48800 mg/L (20 °C)</t>
  </si>
  <si>
    <t>-1,09</t>
  </si>
  <si>
    <t>617°C</t>
  </si>
  <si>
    <t>Hexaboron dizinc undecaoxide</t>
  </si>
  <si>
    <t xml:space="preserve">FB 290 / ZB 400 </t>
  </si>
  <si>
    <t>235-804-2</t>
  </si>
  <si>
    <t>12767-90-7</t>
  </si>
  <si>
    <t>BOZn</t>
  </si>
  <si>
    <t>[B].[O-2].[Zn+2]</t>
  </si>
  <si>
    <t>H361d / H400 / H411</t>
  </si>
  <si>
    <t>&lt; 25 mg/L (20°C)</t>
  </si>
  <si>
    <t>Boron orthophosphate</t>
  </si>
  <si>
    <t>236-337-7</t>
  </si>
  <si>
    <t>13308-51-5</t>
  </si>
  <si>
    <t>BO4P</t>
  </si>
  <si>
    <t>[B+3].[O-]P([O-])([O-])=O</t>
  </si>
  <si>
    <t>H302 / H360 (FD)</t>
  </si>
  <si>
    <t>143 mg/L (20 °C)</t>
  </si>
  <si>
    <t>Titanium dioxide</t>
  </si>
  <si>
    <t>AERODISP / TITANIX / Tiona</t>
  </si>
  <si>
    <t>236-675-5</t>
  </si>
  <si>
    <t>13463-67-7</t>
  </si>
  <si>
    <t>O2Ti</t>
  </si>
  <si>
    <t>O=[Ti]=O</t>
  </si>
  <si>
    <t>≥ 1000000 tonnes per annum</t>
  </si>
  <si>
    <t>&lt; 1,51 µg/L (19,9°C)</t>
  </si>
  <si>
    <t>2500 - 3000 °C</t>
  </si>
  <si>
    <t>Diphosphoric acid, compound with 1,3,5-triazine-2,4,6-triamine (1:2)</t>
  </si>
  <si>
    <t>236-860-0</t>
  </si>
  <si>
    <t>13518-93-9</t>
  </si>
  <si>
    <t>C6H16N12O7P2</t>
  </si>
  <si>
    <t>C1(=NC(=NC(=N1)N)N)N.C1(=NC(=NC(=N1)N)N)N.OP(=O)(O)OP(=O)(O)O</t>
  </si>
  <si>
    <t>H332 / H351 / H361f / H373</t>
  </si>
  <si>
    <t>233,1 - 385,6 mg/L (20,9 °C)</t>
  </si>
  <si>
    <t>608,71072 Pa</t>
  </si>
  <si>
    <t>3,76877E-4 Pa·m3/mol</t>
  </si>
  <si>
    <t>-1,24</t>
  </si>
  <si>
    <t>40,7</t>
  </si>
  <si>
    <t>195°C</t>
  </si>
  <si>
    <t>[(2,4-dibromophenoxy)methyl]oxirane</t>
  </si>
  <si>
    <t>243-606-2</t>
  </si>
  <si>
    <t>20217-01-0</t>
  </si>
  <si>
    <t>C9H8Br2O2</t>
  </si>
  <si>
    <t>BrC1=CC(Br)=C(OCC2CO2)C=C1</t>
  </si>
  <si>
    <t>Brominated</t>
  </si>
  <si>
    <t>≥ 1 to &lt; 10 per annum</t>
  </si>
  <si>
    <t>H302 / H315 / H317 / H341 / H411</t>
  </si>
  <si>
    <t>68,3 mg/L (20 °C)</t>
  </si>
  <si>
    <t>0,008 Pa (20 °C)</t>
  </si>
  <si>
    <t>23,6847 Pa·m³/mol</t>
  </si>
  <si>
    <t>3,518</t>
  </si>
  <si>
    <t>191</t>
  </si>
  <si>
    <t>300°C</t>
  </si>
  <si>
    <t>Barium diboron tetraoxide</t>
  </si>
  <si>
    <t>Busan 11-M1</t>
  </si>
  <si>
    <t>237-222-4</t>
  </si>
  <si>
    <t>13701-59-2</t>
  </si>
  <si>
    <t>B2BaO4</t>
  </si>
  <si>
    <t>B(=O)[O-].B(=O)[O-].[Ba+2]</t>
  </si>
  <si>
    <t>H301 / H332 / H360FD</t>
  </si>
  <si>
    <t>822 mg/L (25 °C)</t>
  </si>
  <si>
    <t>Potassium 1,1,2,2,3,3,4,4,4-nonafluorobutane-1-sulphonate</t>
  </si>
  <si>
    <t>HX98</t>
  </si>
  <si>
    <t>249-616-3</t>
  </si>
  <si>
    <t>29420-49-3</t>
  </si>
  <si>
    <t>C4F9KO3S</t>
  </si>
  <si>
    <t>[K+].[O-]S(=O)(=O)C(F)(F)C(F)(F)C(F)(F)C(F)(F)F</t>
  </si>
  <si>
    <t>Dimethylbenzyl peroxides</t>
  </si>
  <si>
    <t>H318</t>
  </si>
  <si>
    <t>52600 mg/L - 56600 mg/L (22,5°C)</t>
  </si>
  <si>
    <t>0,0000298775 Pa·m³/mol</t>
  </si>
  <si>
    <t>-1,8</t>
  </si>
  <si>
    <t>288</t>
  </si>
  <si>
    <t>447°C</t>
  </si>
  <si>
    <t>N-[3-(dimethylamino)propyl]-3,3,4,4,5,5,6,6,7,7,8,8,8-tridecafluorooctanesulphonamide N-oxide</t>
  </si>
  <si>
    <t>279-481-6</t>
  </si>
  <si>
    <t>80475-32-7</t>
  </si>
  <si>
    <t>C13H17F13N2O3S</t>
  </si>
  <si>
    <t>C[N+](C)([O-])CCCNS(=O)(=O)CCC(F)(F)C(F)(F)C(F)(F)C(F)(F)C(F)(F)C(F)(F)F</t>
  </si>
  <si>
    <t>H373 / H411</t>
  </si>
  <si>
    <t>270000 mg/L (20 °C)</t>
  </si>
  <si>
    <t>1,72325e-6 Pa⋅m³/mol</t>
  </si>
  <si>
    <t>1,35</t>
  </si>
  <si>
    <t>6918 at 20°C</t>
  </si>
  <si>
    <t>233°C</t>
  </si>
  <si>
    <t>Thiourea</t>
  </si>
  <si>
    <t>Thiocarbamide</t>
  </si>
  <si>
    <t> 200-543-5</t>
  </si>
  <si>
    <t>62-56-6</t>
  </si>
  <si>
    <t>CH4N2S</t>
  </si>
  <si>
    <t>C(=S)(N)N</t>
  </si>
  <si>
    <t>Thioureas</t>
  </si>
  <si>
    <t>H302 / H351 / H361 / H411</t>
  </si>
  <si>
    <t>142000 mg/L (25°C)</t>
  </si>
  <si>
    <t>0,0000188 Pa (25°C)</t>
  </si>
  <si>
    <t>0,000000011 Pa m³/mol (25°C)</t>
  </si>
  <si>
    <t>-1,08</t>
  </si>
  <si>
    <t>6</t>
  </si>
  <si>
    <t>217°C</t>
  </si>
  <si>
    <t>bis(α,α-dimethylbenzyl) peroxide</t>
  </si>
  <si>
    <t>Perkadox BC-FF</t>
  </si>
  <si>
    <t>201-279-3</t>
  </si>
  <si>
    <t>80-43-3</t>
  </si>
  <si>
    <t>C18H22O2</t>
  </si>
  <si>
    <t>CC(C)(OOC(C)(C)C1=CC=CC=C1)C1=CC=CC=C1</t>
  </si>
  <si>
    <t>inherently biodegradable</t>
  </si>
  <si>
    <t>H242/ H315 / H319 / H360D / H411</t>
  </si>
  <si>
    <t>0,43 mg/L  (20°C)</t>
  </si>
  <si>
    <t>3,19854 Pa·m³/mol</t>
  </si>
  <si>
    <t>5,6</t>
  </si>
  <si>
    <t>9550 at 20°C</t>
  </si>
  <si>
    <t>100°C</t>
  </si>
  <si>
    <t>Melamine</t>
  </si>
  <si>
    <t>Triaminotriazine</t>
  </si>
  <si>
    <t>203-615-4</t>
  </si>
  <si>
    <t>108-78-1</t>
  </si>
  <si>
    <t>C3H6N6</t>
  </si>
  <si>
    <t>NC1=NC(N)=NC(N)=N1</t>
  </si>
  <si>
    <t>1,3,5-triazine-2,4,6(1H,3H,5H)-trione and 1,3,5-triazine-2,4,6-triamine derivatives</t>
  </si>
  <si>
    <t>H351 / H361 / H373</t>
  </si>
  <si>
    <t>3480 mg/L (20 °C)</t>
  </si>
  <si>
    <t>1,8E-09 Pa·m³/mol</t>
  </si>
  <si>
    <t>-1,22</t>
  </si>
  <si>
    <t>13,49 at 20°C</t>
  </si>
  <si>
    <t>330 °C</t>
  </si>
  <si>
    <t>Etude de sol Wallonie</t>
  </si>
  <si>
    <t>Nonanoic acid</t>
  </si>
  <si>
    <t>Pelargonic acid</t>
  </si>
  <si>
    <t>203-931-2</t>
  </si>
  <si>
    <t>112-05-0</t>
  </si>
  <si>
    <t>C9H18O2</t>
  </si>
  <si>
    <t>CCCCCCCCC(=O)O</t>
  </si>
  <si>
    <t>Linear carboxylic acids (≥C5)</t>
  </si>
  <si>
    <t>H315 / H319 / H412</t>
  </si>
  <si>
    <t>270 mg/L (20 °C)</t>
  </si>
  <si>
    <t>0,12 Pa (20°C)</t>
  </si>
  <si>
    <t>0,065 Pa·m³/mol (20 °C)</t>
  </si>
  <si>
    <t>3,4</t>
  </si>
  <si>
    <t>141</t>
  </si>
  <si>
    <t>Sodium hydrogencarbonate</t>
  </si>
  <si>
    <t>Sodium bicarbonate</t>
  </si>
  <si>
    <t>205-633-8</t>
  </si>
  <si>
    <t>144-55-8</t>
  </si>
  <si>
    <t>CHNaO3</t>
  </si>
  <si>
    <t>[Na+].OC([O-])=O</t>
  </si>
  <si>
    <t>Carbonates and hydrogen carbonates salts with counterions of low hazard</t>
  </si>
  <si>
    <t>≥ 1 000000 to &lt; 10000000 tonnes per annum</t>
  </si>
  <si>
    <t>93400 mg/L (20 °C)</t>
  </si>
  <si>
    <t>66,9 Pa (20°C)</t>
  </si>
  <si>
    <t>-0,858</t>
  </si>
  <si>
    <t>3,89</t>
  </si>
  <si>
    <t>Dimethyl methylphosphonate</t>
  </si>
  <si>
    <t>DMMP</t>
  </si>
  <si>
    <t>212-052-3</t>
  </si>
  <si>
    <t>756-79-6</t>
  </si>
  <si>
    <t>C3H9O3P</t>
  </si>
  <si>
    <t>COP(C)(=O)OC</t>
  </si>
  <si>
    <t>Organic phosphonic acids, salts and esters</t>
  </si>
  <si>
    <t>H318 / H340 / H361f</t>
  </si>
  <si>
    <t>100000 mg/L (21 °C)</t>
  </si>
  <si>
    <t>1,28 hPa (25 °C)</t>
  </si>
  <si>
    <t>0,010844175 Pa·m³/mol</t>
  </si>
  <si>
    <t>-0,610</t>
  </si>
  <si>
    <t>5,14</t>
  </si>
  <si>
    <t>79,5 - 181 °C</t>
  </si>
  <si>
    <t>Dimethyl phosphonate</t>
  </si>
  <si>
    <t>DMHP</t>
  </si>
  <si>
    <t>212-783-8</t>
  </si>
  <si>
    <t>868-85-9</t>
  </si>
  <si>
    <t>C2H7O3P</t>
  </si>
  <si>
    <t>COP(=O)OC</t>
  </si>
  <si>
    <t>H317 / H341 / H351 / H412</t>
  </si>
  <si>
    <t>&gt;10000 mg/100 mL at 20 °C</t>
  </si>
  <si>
    <t>1,35 - 1 050,81 hPa</t>
  </si>
  <si>
    <t>0,149 Pa·m³/mol</t>
  </si>
  <si>
    <t>-1,13</t>
  </si>
  <si>
    <t>2,62 L,kg-1</t>
  </si>
  <si>
    <t>171,1 °C</t>
  </si>
  <si>
    <t>Sodium hydroxide</t>
  </si>
  <si>
    <t>Caustic soda</t>
  </si>
  <si>
    <t>215-185-5</t>
  </si>
  <si>
    <t>1310-73-2</t>
  </si>
  <si>
    <t>HNaO</t>
  </si>
  <si>
    <t>[OH-].[Na+]</t>
  </si>
  <si>
    <t>Metal elements of low hazard and their oxides and hydroxides</t>
  </si>
  <si>
    <t>≥ 10000000 tonnes per annum</t>
  </si>
  <si>
    <t xml:space="preserve">H290 / H314 / H318 </t>
  </si>
  <si>
    <t>520000 mg/L (25 °C)</t>
  </si>
  <si>
    <t>3269,709 Pa</t>
  </si>
  <si>
    <t xml:space="preserve">
-1,38</t>
  </si>
  <si>
    <t>1388 °C</t>
  </si>
  <si>
    <t>Molybdenum trioxide</t>
  </si>
  <si>
    <t xml:space="preserve">POS / ActiSorb G1 / Famax* / OleMax </t>
  </si>
  <si>
    <t>215-204-7</t>
  </si>
  <si>
    <t>1313-27-5</t>
  </si>
  <si>
    <t>MoO3</t>
  </si>
  <si>
    <t>O=[Mo](=O)=O</t>
  </si>
  <si>
    <t>Molybdenum and its simple compounds</t>
  </si>
  <si>
    <t>H319 / H335 / H351</t>
  </si>
  <si>
    <t>1000 mg/L (20 °C)</t>
  </si>
  <si>
    <t>1155 °C</t>
  </si>
  <si>
    <t>Disodium tetraborate, anhydrous</t>
  </si>
  <si>
    <t>Borax</t>
  </si>
  <si>
    <t>215-540-4</t>
  </si>
  <si>
    <t>1330-43-4</t>
  </si>
  <si>
    <t>B4Na2O7</t>
  </si>
  <si>
    <t>[Na+].[Na+].[O-]B1OB2OB([O-])OB(O1)O2</t>
  </si>
  <si>
    <t>H319 / H360FD</t>
  </si>
  <si>
    <t>2560 mg/100ml (20 °C)</t>
  </si>
  <si>
    <t>1,575 °C</t>
  </si>
  <si>
    <t>Dipotassium tetraborate</t>
  </si>
  <si>
    <t>Potassium borate</t>
  </si>
  <si>
    <t>215-575-5</t>
  </si>
  <si>
    <t>1332-77-0</t>
  </si>
  <si>
    <t>B4K2O7</t>
  </si>
  <si>
    <t>[K+].[K+].[O-]B1OB2OB([O-])OB(O1)O2</t>
  </si>
  <si>
    <t>H361 (d)</t>
  </si>
  <si>
    <t>163200 mg/L (20 °C)</t>
  </si>
  <si>
    <t>1,1'-(1,1,2,2-tetramethylethylene)dibenzene</t>
  </si>
  <si>
    <t>2,3-Dimethyl-2,3-diphenylbutane (CCDFB)</t>
  </si>
  <si>
    <t>217-568-2</t>
  </si>
  <si>
    <t>1889-67-4</t>
  </si>
  <si>
    <t>C18H22</t>
  </si>
  <si>
    <t>CC(C)(C1=CC=CC=C1)C(C)(C)C1=CC=CC=C1</t>
  </si>
  <si>
    <t>Polyphenyl alkanes and alkenes</t>
  </si>
  <si>
    <t>H317 / H361fd</t>
  </si>
  <si>
    <t>0,08 mg/L (20 °C)</t>
  </si>
  <si>
    <t>0,015 Pa (20 °C)</t>
  </si>
  <si>
    <t>4,07E-4 atm·m³/mol</t>
  </si>
  <si>
    <t>6,68</t>
  </si>
  <si>
    <t>154 °C</t>
  </si>
  <si>
    <t>2-methyl-2H-isothiazol-3-one</t>
  </si>
  <si>
    <t>220-239-6</t>
  </si>
  <si>
    <t>2682-20-4</t>
  </si>
  <si>
    <t>C4H5NOS</t>
  </si>
  <si>
    <t>CN1C(=O)C=CS1</t>
  </si>
  <si>
    <t>Isothiazolinones</t>
  </si>
  <si>
    <t>H301 / H311 / H314 / H317 / H318 / H330 / H400 / H410</t>
  </si>
  <si>
    <t>537000 mg/L (25°C)</t>
  </si>
  <si>
    <t>8,27 Pa (25°C)</t>
  </si>
  <si>
    <t>0,00503 Pa m³/mol1 (25°C)</t>
  </si>
  <si>
    <t>-0,83</t>
  </si>
  <si>
    <t>12</t>
  </si>
  <si>
    <t>130°C</t>
  </si>
  <si>
    <t>Ammonium nitrate</t>
  </si>
  <si>
    <t>AHL28 / 34-0-0 fertilizer</t>
  </si>
  <si>
    <t>229-347-8</t>
  </si>
  <si>
    <t>6484-52-2</t>
  </si>
  <si>
    <t>H4N2O3</t>
  </si>
  <si>
    <t>[NH4+].[O-]N(=O)=O</t>
  </si>
  <si>
    <t>Nitrogen its oxides and their salts with counterions of low hazard</t>
  </si>
  <si>
    <t>H272 / H319</t>
  </si>
  <si>
    <t>100000 mg/L (20 °C)</t>
  </si>
  <si>
    <t>2,3 kPa at 20 °C in water; 1,5 kPa at 20 °C in saturated NH4NOs</t>
  </si>
  <si>
    <t>-0,129</t>
  </si>
  <si>
    <t>210°C</t>
  </si>
  <si>
    <t>Silicon</t>
  </si>
  <si>
    <t>231-130-8</t>
  </si>
  <si>
    <t>7440-21-3</t>
  </si>
  <si>
    <t>Si</t>
  </si>
  <si>
    <t>[Si]</t>
  </si>
  <si>
    <t>Simple inorganic silicon compounds</t>
  </si>
  <si>
    <t>98°C</t>
  </si>
  <si>
    <t>Ammonia, anhydrous</t>
  </si>
  <si>
    <t>Ammoniac</t>
  </si>
  <si>
    <t>231-635-3</t>
  </si>
  <si>
    <t>7664-41-7</t>
  </si>
  <si>
    <t>NH3</t>
  </si>
  <si>
    <t>N</t>
  </si>
  <si>
    <t>H314 / H332 / H335 / H400 / H411</t>
  </si>
  <si>
    <t>482000 mg/L (24°C)</t>
  </si>
  <si>
    <t>1000984,579 Pa (25°C)</t>
  </si>
  <si>
    <t>0,74 Pa·m³/mol  (23,4°C)</t>
  </si>
  <si>
    <t>0,23</t>
  </si>
  <si>
    <t>1,155</t>
  </si>
  <si>
    <t>14</t>
  </si>
  <si>
    <t>(-33.15) to 35°C</t>
  </si>
  <si>
    <t>Phosphorus</t>
  </si>
  <si>
    <t>231-768-7</t>
  </si>
  <si>
    <t>7723-14-0</t>
  </si>
  <si>
    <t>P</t>
  </si>
  <si>
    <t>[P]</t>
  </si>
  <si>
    <t>Phosphorus, its oxides, chlorides, sulfides and salts of phosphoric acids with counterions of low hazard</t>
  </si>
  <si>
    <t>3,3 mg/L (15 °C)</t>
  </si>
  <si>
    <t>3,644e+6 Pa</t>
  </si>
  <si>
    <t>280°C</t>
  </si>
  <si>
    <t>Sodium metaborate, anhydrous</t>
  </si>
  <si>
    <t>Na-metaborate</t>
  </si>
  <si>
    <t>231-891-6</t>
  </si>
  <si>
    <t>7775-19-1</t>
  </si>
  <si>
    <t>BNaO2</t>
  </si>
  <si>
    <t>[Na+].[O-]B=O</t>
  </si>
  <si>
    <t>H319 / H361 (d)</t>
  </si>
  <si>
    <t>300200 mg/L (20 °C)</t>
  </si>
  <si>
    <t>1434 °C</t>
  </si>
  <si>
    <t>Nitrogen trifluoride</t>
  </si>
  <si>
    <t>Trifluoramine</t>
  </si>
  <si>
    <t>232-007-1</t>
  </si>
  <si>
    <t>7783-54-2</t>
  </si>
  <si>
    <t>F3N</t>
  </si>
  <si>
    <t>N(F)(F)F</t>
  </si>
  <si>
    <t>Fluoride salts with counterions of low hazard</t>
  </si>
  <si>
    <t>H270 / H280 / H332 / H373</t>
  </si>
  <si>
    <t>Insoluble in water</t>
  </si>
  <si>
    <t>4 452,967 kPa (-40,15 °C)</t>
  </si>
  <si>
    <t>0,127</t>
  </si>
  <si>
    <t>-128,75 °C</t>
  </si>
  <si>
    <t>Calcium chloride</t>
  </si>
  <si>
    <t>235-186-4</t>
  </si>
  <si>
    <t>10043-52-4</t>
  </si>
  <si>
    <t>CaCl2</t>
  </si>
  <si>
    <t>[Cl-].[Cl-].[Ca++]</t>
  </si>
  <si>
    <t>Salts of chloride and its oxides with counterions of low hazard</t>
  </si>
  <si>
    <t>745000 mg/L (20 °C)</t>
  </si>
  <si>
    <t>0,05 Pa (800 °C)</t>
  </si>
  <si>
    <t>1 935°C</t>
  </si>
  <si>
    <t>Potassium pentaborate</t>
  </si>
  <si>
    <t>Boron potassium oxide</t>
  </si>
  <si>
    <t>234-371-7</t>
  </si>
  <si>
    <t>11128-29-3</t>
  </si>
  <si>
    <t>B5KO8</t>
  </si>
  <si>
    <t>[K+].[O-]B1OB(OB2OB(OB=O)O2)O1</t>
  </si>
  <si>
    <t>38900 mg/L (20 °C)</t>
  </si>
  <si>
    <t>Diammonium decaborate</t>
  </si>
  <si>
    <t>Ammonium Pentaborate Tetrahydrate</t>
  </si>
  <si>
    <t>234-521-1</t>
  </si>
  <si>
    <t>12007-89-5</t>
  </si>
  <si>
    <t>4% (0 °C) - 7,07% (20 °C)</t>
  </si>
  <si>
    <t>Pentaboron sodium octaoxide</t>
  </si>
  <si>
    <t>Missibor DF</t>
  </si>
  <si>
    <t>234-522-7</t>
  </si>
  <si>
    <t>12007-92-0</t>
  </si>
  <si>
    <t>B5H4NaO10</t>
  </si>
  <si>
    <t>[Na+].OB1OB(O)O[B-]2(O1)OB(O)OB(O)O2</t>
  </si>
  <si>
    <t>22100 mg/L</t>
  </si>
  <si>
    <t>Disodium octaborate</t>
  </si>
  <si>
    <t>DOT / Missibor</t>
  </si>
  <si>
    <t>234-541-0</t>
  </si>
  <si>
    <t>12008-41-2</t>
  </si>
  <si>
    <t>B8Na2O13</t>
  </si>
  <si>
    <t>B(=O)OB1OB2OB(OB(OB(O2)OB(O1)OB=O)[O-])[O-].[Na+].[Na+]</t>
  </si>
  <si>
    <t>H360FD</t>
  </si>
  <si>
    <t>223650 mg/L (20 °C)</t>
  </si>
  <si>
    <t>Hexaammonium heptamolybdate</t>
  </si>
  <si>
    <t>AHM</t>
  </si>
  <si>
    <t>234-722-4</t>
  </si>
  <si>
    <t>12027-67-7</t>
  </si>
  <si>
    <t>206500 mg/L (20 °C)</t>
  </si>
  <si>
    <t>Ammonium bromide</t>
  </si>
  <si>
    <t>235-183-8</t>
  </si>
  <si>
    <t>12124-97-9</t>
  </si>
  <si>
    <t>BrH4N</t>
  </si>
  <si>
    <t>[NH4+].[Br-]</t>
  </si>
  <si>
    <t>Bromide salts with counterions of low hazard</t>
  </si>
  <si>
    <t>H319 / H336 / H361 / H373</t>
  </si>
  <si>
    <t>10000 mg/L (25 °C)</t>
  </si>
  <si>
    <t>0 Pa m³/mol(25°C)</t>
  </si>
  <si>
    <t>-1</t>
  </si>
  <si>
    <t>Tetraammonium hexamolybdate</t>
  </si>
  <si>
    <t>AOM</t>
  </si>
  <si>
    <t>235-650-6</t>
  </si>
  <si>
    <t>12411-64-2</t>
  </si>
  <si>
    <t xml:space="preserve">Ammonium chloride </t>
  </si>
  <si>
    <t>12125-02-9</t>
  </si>
  <si>
    <t>ClH4N</t>
  </si>
  <si>
    <t>[NH4+].[Cl-]</t>
  </si>
  <si>
    <t>283000 - 372000 mg/L (20 - 25 °C)</t>
  </si>
  <si>
    <t>798994,78 Pa</t>
  </si>
  <si>
    <t>338°C (sublimes)</t>
  </si>
  <si>
    <t>Diboron calcium tetraoxide</t>
  </si>
  <si>
    <t>Calciumborat</t>
  </si>
  <si>
    <t>237-224-5</t>
  </si>
  <si>
    <t>13701-64-9</t>
  </si>
  <si>
    <t>B2CaO4</t>
  </si>
  <si>
    <t>[B+3].[B+3].[O--].[O--].[O--].[O--].[Ca++]</t>
  </si>
  <si>
    <t>The tonnage data is confidential</t>
  </si>
  <si>
    <t>H360 (FD)</t>
  </si>
  <si>
    <t>Diphosphoric acid, compound with 1,3,5-triazine-2,4,6-triamine</t>
  </si>
  <si>
    <t>Melamine Pyrophosphate</t>
  </si>
  <si>
    <t>239-590-1</t>
  </si>
  <si>
    <t>15541-60-3</t>
  </si>
  <si>
    <t>C3H10N6O7P2</t>
  </si>
  <si>
    <t>C1(=NC(=NC(=N1)N)N)N.OP(=O)(O)OP(=O)(O)O</t>
  </si>
  <si>
    <t>H319 / H373 / H412</t>
  </si>
  <si>
    <t>375 mg/L (20 °C)</t>
  </si>
  <si>
    <t>-1,48</t>
  </si>
  <si>
    <t>26,7</t>
  </si>
  <si>
    <t>Dimethyl propylphosphonate</t>
  </si>
  <si>
    <t>Phosphonic acid, P-propyl-, dimethyl ester</t>
  </si>
  <si>
    <t>242-555-3</t>
  </si>
  <si>
    <t>18755-43-6</t>
  </si>
  <si>
    <t>C5H13O3P</t>
  </si>
  <si>
    <t>CCCP(=O)(OC)OC</t>
  </si>
  <si>
    <t>H319 / H360</t>
  </si>
  <si>
    <t>203794 mg/L</t>
  </si>
  <si>
    <t>0,223 Pa·m³/mol (25 °C)</t>
  </si>
  <si>
    <t>0,5</t>
  </si>
  <si>
    <t>19,32</t>
  </si>
  <si>
    <t>199 °C</t>
  </si>
  <si>
    <t>Dimolybdenum trizinc nonaoxide</t>
  </si>
  <si>
    <t>Molybdenum zinc oxide</t>
  </si>
  <si>
    <t>245-322-4</t>
  </si>
  <si>
    <t>22914-58-5</t>
  </si>
  <si>
    <t>Mo2O9Zn3</t>
  </si>
  <si>
    <t>[O--].[O--].[O--].[O--].[O--].[O--].[O--].[O--].[O--].[Zn++].[Zn++].[Zn++].[Mo+6].[Mo+6]</t>
  </si>
  <si>
    <t>H332 / H373 / H400 / H411</t>
  </si>
  <si>
    <t>[1,3(or 1,4)-phenylenebis(1-methylethylidene)]bis[tert-butyl] peroxide</t>
  </si>
  <si>
    <t>Perkadox 14</t>
  </si>
  <si>
    <t>246-678-3</t>
  </si>
  <si>
    <t>25155-25-3</t>
  </si>
  <si>
    <t xml:space="preserve">H242 </t>
  </si>
  <si>
    <t>0,04 mg/L (20°C)</t>
  </si>
  <si>
    <t>7,3</t>
  </si>
  <si>
    <t>1,3,5-triazine-2,4,6(1H,3H,5H)-trione, compound with 1,3,5-triazine-2,4,6-triamine (1:1)</t>
  </si>
  <si>
    <t>Melamine cyanurate</t>
  </si>
  <si>
    <t>253-575-7</t>
  </si>
  <si>
    <t>37640-57-6</t>
  </si>
  <si>
    <t>C6H9N9O3</t>
  </si>
  <si>
    <t>C1(=NC(=NC(=N1)N)N)N.C1(=O)NC(=O)NC(=O)N1</t>
  </si>
  <si>
    <t>H351 / H361f / H373</t>
  </si>
  <si>
    <t>12996 mg/L</t>
  </si>
  <si>
    <t>2,43e-10 Pa</t>
  </si>
  <si>
    <t>-1,27</t>
  </si>
  <si>
    <t>558°C</t>
  </si>
  <si>
    <t>1,3,5-triazine-2,4,6-triamine phosphate</t>
  </si>
  <si>
    <t>Budit 312 / MPT 11 / Melapur MP1.3</t>
  </si>
  <si>
    <t>255-449-7</t>
  </si>
  <si>
    <t>41583-09-9</t>
  </si>
  <si>
    <t xml:space="preserve">	
C3H9N6O4P</t>
  </si>
  <si>
    <t>C1(=NC(=NC(=N1)N)N)N.OP(=O)(O)O</t>
  </si>
  <si>
    <t>3900 mg/L (20 °C)</t>
  </si>
  <si>
    <t>1,86E-9 Pa·m³/mol (20 °C)</t>
  </si>
  <si>
    <t>-3,17</t>
  </si>
  <si>
    <t>21 at 20°C</t>
  </si>
  <si>
    <t>Fatty acids, C18-unsatd., dimers, 2-ethylhexyl esters</t>
  </si>
  <si>
    <t>Priolube "n" / Uniflex "n"</t>
  </si>
  <si>
    <t>500-204-4</t>
  </si>
  <si>
    <t>68334-05-4</t>
  </si>
  <si>
    <t>Esters from fatty acid oligomers</t>
  </si>
  <si>
    <t>0 - 1000 mg/L (21 - 25°C)</t>
  </si>
  <si>
    <t>0 Pa (20-25°C)</t>
  </si>
  <si>
    <t>18,36</t>
  </si>
  <si>
    <t>Dipotassium octaborate</t>
  </si>
  <si>
    <t>Dipotassium Tridecaoxooctaborate (III) tetrahydrate</t>
  </si>
  <si>
    <t>686-800-6</t>
  </si>
  <si>
    <t>12008-39-8</t>
  </si>
  <si>
    <t>B8K2O13</t>
  </si>
  <si>
    <t>[K+].[K+].[O-]B1OB([O-])OB2OB(OB=O)OB(OB=O)OB(O1)O2</t>
  </si>
  <si>
    <t>65,73 - 128,6 g/L (20 °C)</t>
  </si>
  <si>
    <t>Amines, N-(C16-18 (even numbered) and C18-unsatd. alkyl) trimethylenedi-, ethoxylated(NLP)</t>
  </si>
  <si>
    <t>DINORAMOX</t>
  </si>
  <si>
    <t>800-029-6</t>
  </si>
  <si>
    <t>1290049-56-7</t>
  </si>
  <si>
    <t>Ethoxylated N-alkyltrimethylenediamines</t>
  </si>
  <si>
    <t>H302 / H314 / H318 / H372 / H400 / H410</t>
  </si>
  <si>
    <t>19 mg/L (23 °C)</t>
  </si>
  <si>
    <t>0,002 Pa (20 °C)</t>
  </si>
  <si>
    <t>0,033 Pa·m³/mol (25 °C)</t>
  </si>
  <si>
    <t>2,8</t>
  </si>
  <si>
    <t>2600000</t>
  </si>
  <si>
    <t>342 °C</t>
  </si>
  <si>
    <t>Bisphenols</t>
  </si>
  <si>
    <t>4,4'-isopropylidenediphenol</t>
  </si>
  <si>
    <t>Bisphenol A</t>
  </si>
  <si>
    <t>201-245-8</t>
  </si>
  <si>
    <t>80-05-7</t>
  </si>
  <si>
    <t>C15H16O2</t>
  </si>
  <si>
    <t>CC(C)(C1=CC=C(O)C=C1)C1=CC=C(O)C=C1</t>
  </si>
  <si>
    <t>≥ 1 000 000 tonnes per annum</t>
  </si>
  <si>
    <t>ready biodegradable</t>
  </si>
  <si>
    <t>H317 / H318 / H335 / H360 / H400 / H410</t>
  </si>
  <si>
    <t>300 mg/L at 25 °C</t>
  </si>
  <si>
    <t>0 Pa at 25 °C</t>
  </si>
  <si>
    <t>0 Pa·m³/mol at 25 °C</t>
  </si>
  <si>
    <t>21,5 °C</t>
  </si>
  <si>
    <t>720 L/kg at 20°C</t>
  </si>
  <si>
    <t>360° C</t>
  </si>
  <si>
    <t>Bio monitoring “European Human Dashboard”
Programme de recherche BioDiEn
Bruxelles Environnement
VVM
Bio monitoring BMH-Wal
Etudes de sol Wallonie</t>
  </si>
  <si>
    <t>4,4'-(1-methylpropylidene)bisphenol</t>
  </si>
  <si>
    <t>bisphenol B</t>
  </si>
  <si>
    <t>201-025-1</t>
  </si>
  <si>
    <t>77-40-7</t>
  </si>
  <si>
    <t>C16H18O2</t>
  </si>
  <si>
    <t>CCC(c1ccc(cc1)O)(c1ccc(cc1)O)C</t>
  </si>
  <si>
    <t>H302 / H319 / H413</t>
  </si>
  <si>
    <t>242,31 g/mol</t>
  </si>
  <si>
    <t>2,933084e-5 Pa</t>
  </si>
  <si>
    <t>1,27515e-2 Pa·m³/mol</t>
  </si>
  <si>
    <t>6,61e+3  L/kg</t>
  </si>
  <si>
    <t>370° C</t>
  </si>
  <si>
    <t>4,4'-sulphonyldiphenol</t>
  </si>
  <si>
    <t>Bisphenol S</t>
  </si>
  <si>
    <t>201-250-5</t>
  </si>
  <si>
    <t>80-09-1</t>
  </si>
  <si>
    <t>C12H10O4S</t>
  </si>
  <si>
    <t>OC1=CC=C(C=C1)S(=O)(=O)C1=CC=C(O)C=C1</t>
  </si>
  <si>
    <t>≥ 10 000 tonnes per annum</t>
  </si>
  <si>
    <t>715 mg/L at 20 °C</t>
  </si>
  <si>
    <t>6,29E-8 Pa at 25 °C</t>
  </si>
  <si>
    <t>3,59225e-6 Pa·m³/mol</t>
  </si>
  <si>
    <t>23 °C</t>
  </si>
  <si>
    <t>660,7 L/kg</t>
  </si>
  <si>
    <t xml:space="preserve">315° C </t>
  </si>
  <si>
    <t>Bio monitoring “European Human Dashboard”
Bio monitoring BMH-Wal</t>
  </si>
  <si>
    <t>4,4'-isopropylidenedi-o-cresol</t>
  </si>
  <si>
    <t>Bisphenol C</t>
  </si>
  <si>
    <t>201-240-0</t>
  </si>
  <si>
    <t>79-97-0</t>
  </si>
  <si>
    <t>C17H20O2</t>
  </si>
  <si>
    <t>CC1=C(O)C=CC(=C1)C(C)(C)C1=CC(C)=C(O)C=C1</t>
  </si>
  <si>
    <t>not biodegradable</t>
  </si>
  <si>
    <t>H317 / H319 / H411</t>
  </si>
  <si>
    <t>22mg/L at 20℃</t>
  </si>
  <si>
    <t>0 Pa at 25℃</t>
  </si>
  <si>
    <t>0,09024915 Pa·m³/mol</t>
  </si>
  <si>
    <t>850 L/kg at  20 °C</t>
  </si>
  <si>
    <t>239,4° C</t>
  </si>
  <si>
    <t>2,2',6,6'-tetra-tert-butyl-4,4'-methylenediphenol</t>
  </si>
  <si>
    <t>TBMD</t>
  </si>
  <si>
    <t>204-279-1</t>
  </si>
  <si>
    <t>118-82-1</t>
  </si>
  <si>
    <t>C29H44O2</t>
  </si>
  <si>
    <t>CC(C)(C)C1=CC(CC2=CC(=C(O)C(=C2)C(C)(C)C)C(C)(C)C)=CC(=C1O)C(C)(C)C</t>
  </si>
  <si>
    <t>0,000032 mg/L at 20℃</t>
  </si>
  <si>
    <t>0,04220925 Pa·m³/mol</t>
  </si>
  <si>
    <t>7,41e+4 L/kg</t>
  </si>
  <si>
    <t>175° C</t>
  </si>
  <si>
    <t>4,4'-methylenedi-2,6-xylenol</t>
  </si>
  <si>
    <t>Bisphenol F</t>
  </si>
  <si>
    <t>226-378-9</t>
  </si>
  <si>
    <t>5384-21-4</t>
  </si>
  <si>
    <t>Cc1cc(Cc2cc(C)c(c(c2)C)O)cc(c1O)C</t>
  </si>
  <si>
    <t>H315 / H319 / H335 / H400</t>
  </si>
  <si>
    <t>100 mg/L at 25℃</t>
  </si>
  <si>
    <t>0,0922068 Pa·m³/mol</t>
  </si>
  <si>
    <t>25 °C</t>
  </si>
  <si>
    <t>6,31e+3 L/kg</t>
  </si>
  <si>
    <t xml:space="preserve">240° C </t>
  </si>
  <si>
    <t>4,4'-(1,3-phenylene-bis(1-methylethylidene))bisphenol</t>
  </si>
  <si>
    <t>Bisphenol M</t>
  </si>
  <si>
    <t>428-970-4</t>
  </si>
  <si>
    <t>13595-25-0</t>
  </si>
  <si>
    <t>C24H26O2</t>
  </si>
  <si>
    <t>CC(C)(C1=CC=C(O)C=C1)C1=CC(=CC=C1)C(C)(C)C1=CC=C(O)C=C1</t>
  </si>
  <si>
    <t>H317 / H361 / H411</t>
  </si>
  <si>
    <t>0,845 mg/L</t>
  </si>
  <si>
    <t>0,001 Pa at 25℃</t>
  </si>
  <si>
    <t>0,0285617 Pa·m³/mol</t>
  </si>
  <si>
    <t>40 °C</t>
  </si>
  <si>
    <t>3,72e+4 L/kg</t>
  </si>
  <si>
    <t>441° C</t>
  </si>
  <si>
    <t>6,6'-di-tert-butyl-4,4'-butylidenedi-m-cresol</t>
  </si>
  <si>
    <t>Santowhite</t>
  </si>
  <si>
    <t>201-618-5</t>
  </si>
  <si>
    <t>85-60-9</t>
  </si>
  <si>
    <t>C26H38O2</t>
  </si>
  <si>
    <t>CCCC(C1=C(C)C=C(O)C(=C1)C(C)(C)C)C1=C(C)C=C(O)C(=C1)C(C)(C)C</t>
  </si>
  <si>
    <t>0,004 mg/L at 20℃</t>
  </si>
  <si>
    <t>0,0376947 Pa·m³/mol</t>
  </si>
  <si>
    <t>6,17e+4 L/kg</t>
  </si>
  <si>
    <t>439° C</t>
  </si>
  <si>
    <t>4,4'-[2,2,2-trifluoro-1-(trifluoromethyl)ethylidene]diphenol</t>
  </si>
  <si>
    <t>Bisphénol AF, BPAF</t>
  </si>
  <si>
    <t xml:space="preserve">216-036-7 </t>
  </si>
  <si>
    <t>1478-61-1</t>
  </si>
  <si>
    <t>C15H10F6O2</t>
  </si>
  <si>
    <t>OC1=CC=C(C=C1)C(C1=CC=C(O)C=C1)(C(F)(F)F)C(F)(F)F</t>
  </si>
  <si>
    <t>H318 / H360 / H373 /  H410</t>
  </si>
  <si>
    <t>222 mg/L at 20 °C</t>
  </si>
  <si>
    <t>0 Pa at 20 °C</t>
  </si>
  <si>
    <t>0,8045 Pa·m³/mol</t>
  </si>
  <si>
    <t>6,76e+3 L/kg</t>
  </si>
  <si>
    <t>400° C</t>
  </si>
  <si>
    <t>2,2-Bis(2-hydroxy-5-biphenylyl)propane</t>
  </si>
  <si>
    <t>Bisphénol PH, BPPH</t>
  </si>
  <si>
    <t>678-197-3</t>
  </si>
  <si>
    <t>24038-68-4</t>
  </si>
  <si>
    <t>C27H24O2</t>
  </si>
  <si>
    <t>CC(C)(C1=CC(=C(C=C1)O)C2=CC=CC=C2)C3=CC(=C(C=C3)O)C4=CC=CC=C4</t>
  </si>
  <si>
    <t>H315 / H317 / H319 / H361</t>
  </si>
  <si>
    <t>0,155 mg/L</t>
  </si>
  <si>
    <t xml:space="preserve">
0,000000256 Pa</t>
  </si>
  <si>
    <t>0,0485 Pa·m³/mol</t>
  </si>
  <si>
    <t>7,76e+4 L/kg</t>
  </si>
  <si>
    <t xml:space="preserve">
521° C</t>
  </si>
  <si>
    <t>o-[(4-hydroxyphenyl)sulphonyl]phenol</t>
  </si>
  <si>
    <t>2,4’-Bisphenol S</t>
  </si>
  <si>
    <t>226-421-1</t>
  </si>
  <si>
    <t>5397-34-2</t>
  </si>
  <si>
    <t>C1=CC=C(C(=C1)O)S(=O)(=O)C2=CC=C(C=C2)O</t>
  </si>
  <si>
    <t>H302 / H312 / H314 / H332 / H341</t>
  </si>
  <si>
    <t>585,63 mg/L</t>
  </si>
  <si>
    <t>0,000000054 Pa</t>
  </si>
  <si>
    <t>0, 00002 Pa·m³/mol</t>
  </si>
  <si>
    <t>513 L/kg</t>
  </si>
  <si>
    <t>409° C</t>
  </si>
  <si>
    <t>4,4’-isopropylidenebis[2- allylphenol]</t>
  </si>
  <si>
    <t>DAB</t>
  </si>
  <si>
    <t xml:space="preserve">217-121-1 </t>
  </si>
  <si>
    <t>1745-89-7</t>
  </si>
  <si>
    <t>C21H24O2</t>
  </si>
  <si>
    <t>CC(C)(C1=CC(CC=C)=C(O)C=C1)C1=CC(CC=C)=C(O)C=C1</t>
  </si>
  <si>
    <t>≥ 100 to &lt; 1 000 tonnes per annum.</t>
  </si>
  <si>
    <t>H314 / H317 / H318 / H400 / H410</t>
  </si>
  <si>
    <t>31,1 mg/L at 20 °C</t>
  </si>
  <si>
    <t>0,0084 Pa·m³/mol</t>
  </si>
  <si>
    <t>4990 L/kg</t>
  </si>
  <si>
    <t>417° C</t>
  </si>
  <si>
    <t>4,4’-isopropylidenedi-2,6-xylol</t>
  </si>
  <si>
    <t>TMBPA</t>
  </si>
  <si>
    <t xml:space="preserve">227-033-5 </t>
  </si>
  <si>
    <t>5613-46-7</t>
  </si>
  <si>
    <t>C19H24O2</t>
  </si>
  <si>
    <t>CC1=CC(=CC(C)=C1O)C(C)(C)C1=CC(C)=C(O)C(C)=C1</t>
  </si>
  <si>
    <t>3,17 mg/L at 20 °C</t>
  </si>
  <si>
    <t>0,0352 Pa·m³/mol</t>
  </si>
  <si>
    <t>825 L/kg</t>
  </si>
  <si>
    <t>356.41° C</t>
  </si>
  <si>
    <t>2,2’-[(1- methylethylidene)bis(4,1- phenyleneoxy)]bisethyl diacetate</t>
  </si>
  <si>
    <t xml:space="preserve">242-895-2 </t>
  </si>
  <si>
    <t>19224-29-4</t>
  </si>
  <si>
    <t>C23H28O6</t>
  </si>
  <si>
    <t>CC(=O)OCCOC1=CC=C(C=C1)C(C)(C)C2=CC=C(C=C2)OCCOC(=O)C</t>
  </si>
  <si>
    <t>0,0035 mg/L at 25 °C</t>
  </si>
  <si>
    <t>0,006 Pa·m³/mol</t>
  </si>
  <si>
    <t>9,55e+3 L/kg</t>
  </si>
  <si>
    <t>435° C</t>
  </si>
  <si>
    <t>(1-methylethylidene)bis(4,1- phenyleneoxy-3,1-propanediyl) bismethacrylate</t>
  </si>
  <si>
    <t>BIS-PMA</t>
  </si>
  <si>
    <t xml:space="preserve">248-607-1 </t>
  </si>
  <si>
    <t>27689-12-9</t>
  </si>
  <si>
    <t>C29H36O6</t>
  </si>
  <si>
    <t>CC(=C)C(=O)OCCCOC1=CC=C(C=C1)C(C)(C)C2=CC=C(C=C2)OCCCOC(=O)C(=C)C</t>
  </si>
  <si>
    <t>H413</t>
  </si>
  <si>
    <t>0,000072 mg/L at 25 °C</t>
  </si>
  <si>
    <t>0 Pa at 20 - 25 °C</t>
  </si>
  <si>
    <t>3,16e+4 L/kg</t>
  </si>
  <si>
    <t xml:space="preserve">
515° C</t>
  </si>
  <si>
    <t>2-Acetone, polymer with phenol</t>
  </si>
  <si>
    <t>BPADP</t>
  </si>
  <si>
    <t>500-086-4</t>
  </si>
  <si>
    <t>35238-34-7</t>
  </si>
  <si>
    <t>readily biodegradable</t>
  </si>
  <si>
    <t>H315 / H317 / H319 / H361 / H411</t>
  </si>
  <si>
    <t>1000 mg/L at 20 °C</t>
  </si>
  <si>
    <t>87 Pa at 190 °C</t>
  </si>
  <si>
    <t>2,8 at 40°C</t>
  </si>
  <si>
    <t>56° C</t>
  </si>
  <si>
    <t>Formaldehyde, oligomeric reaction products with 4,4’-isopropylidenediphenol and diethylenetriamine</t>
  </si>
  <si>
    <t xml:space="preserve">500-263-6 </t>
  </si>
  <si>
    <t>77138-45-5</t>
  </si>
  <si>
    <t>H314 / H317 / H335 / H361</t>
  </si>
  <si>
    <t>542 - 4 940 mg/L at 20 °C</t>
  </si>
  <si>
    <t>136 Pa at 25 °C</t>
  </si>
  <si>
    <t>90° C</t>
  </si>
  <si>
    <t xml:space="preserve">Phenol, sulfonated </t>
  </si>
  <si>
    <t>277-962-5</t>
  </si>
  <si>
    <t>74665-14-8</t>
  </si>
  <si>
    <t>≥ 10 to &lt; 100 tonnes per annum.</t>
  </si>
  <si>
    <t>H290 / H302 / H314 / H318 / H335 / H360</t>
  </si>
  <si>
    <t>1 000 000 mg/L at 20 °C</t>
  </si>
  <si>
    <t>0,019 Pa at 20 °C</t>
  </si>
  <si>
    <t>0,003 Pa·m³/mol at 25 °C</t>
  </si>
  <si>
    <t>at 20 °C</t>
  </si>
  <si>
    <t>12,86 L/kg at 20°C</t>
  </si>
  <si>
    <t>251° C</t>
  </si>
  <si>
    <t>4,4'-ethylidenediphenyl dicyanate</t>
  </si>
  <si>
    <t>AROCY L-10</t>
  </si>
  <si>
    <t xml:space="preserve">405-740-1 </t>
  </si>
  <si>
    <t>47073-92-7</t>
  </si>
  <si>
    <t>C16H12N2O2</t>
  </si>
  <si>
    <t>CC(C1=CC=C(OC#N)C=C1)C1=CC=C(OC#N)C=C1</t>
  </si>
  <si>
    <t>Confidential</t>
  </si>
  <si>
    <t>H302 / H318 / H332 / H373 / H410</t>
  </si>
  <si>
    <t xml:space="preserve">1,6 mg/L at 23 °C </t>
  </si>
  <si>
    <t>0,3769 Pa·m³/mol</t>
  </si>
  <si>
    <t>0 °C</t>
  </si>
  <si>
    <t xml:space="preserve">
5,01e+3 L/kg</t>
  </si>
  <si>
    <t>240° C</t>
  </si>
  <si>
    <t>benzyltriphenylphosphon ium, salt with 4,4'- [2,2,2-trifluoro-1- (trifluoromethyl)ethylide ne]bis[phenol] (1:1)</t>
  </si>
  <si>
    <t xml:space="preserve">278-305-5 </t>
  </si>
  <si>
    <t>75768-65-9</t>
  </si>
  <si>
    <t>C40H31F6O2P</t>
  </si>
  <si>
    <t>C1=CC=C(C=C1)C[P+](C2=CC=CC=C2)(C3=CC=CC=C3)C4=CC=CC=C4.C1=CC(=CC=C1C(C2=CC=C(C=C2)[O-])(C(F)(F)F)C(F)(F)F)O</t>
  </si>
  <si>
    <t>H360 / H400 / H410</t>
  </si>
  <si>
    <t>4,88 mg/L at 20 °C</t>
  </si>
  <si>
    <t>7 244 L/kg at 20°C</t>
  </si>
  <si>
    <t>Chlorobenzène</t>
  </si>
  <si>
    <t>1,4-Dichlorobenzene</t>
  </si>
  <si>
    <t>1.4 DCB</t>
  </si>
  <si>
    <t>203-400-5</t>
  </si>
  <si>
    <t>106-46-7</t>
  </si>
  <si>
    <t>C6H4Cl2</t>
  </si>
  <si>
    <t>ClC1=CC=C(Cl)C=C1</t>
  </si>
  <si>
    <t>H319 / H351 / H400 / H410</t>
  </si>
  <si>
    <t>51,2 - 82,9 mg/Lat 10 - 25°C</t>
  </si>
  <si>
    <t>53 Pa at 25 °C</t>
  </si>
  <si>
    <t>262,4 Pa,m³,mol-1 at 20 °C</t>
  </si>
  <si>
    <t>620 L.kg-1</t>
  </si>
  <si>
    <t>174,12 °C</t>
  </si>
  <si>
    <t>BXL envi
VVM
Etude de sol Wallonie</t>
  </si>
  <si>
    <t>BXL envi
Etude de sol Wallonie</t>
  </si>
  <si>
    <t>EUROFINS, SERVACO</t>
  </si>
  <si>
    <t>Pentachlorobenzene</t>
  </si>
  <si>
    <t>210-172-0</t>
  </si>
  <si>
    <t>608-93-5</t>
  </si>
  <si>
    <t>C6HCl5</t>
  </si>
  <si>
    <t>C1=CC(=CC=C1Cl)Cl</t>
  </si>
  <si>
    <t>H228 / H302 / H400 / H410</t>
  </si>
  <si>
    <t>0,831 mg/L at 25 °C</t>
  </si>
  <si>
    <t>~ 2 Pa at 25 °C</t>
  </si>
  <si>
    <t>71,48  Pa,m³,mol-1 at 25 °C</t>
  </si>
  <si>
    <t>24547 L.kg-1</t>
  </si>
  <si>
    <t>277 °C</t>
  </si>
  <si>
    <t>Hexachlorobenzene</t>
  </si>
  <si>
    <t>204-273-9</t>
  </si>
  <si>
    <t>118-74-1</t>
  </si>
  <si>
    <t>C6Cl6</t>
  </si>
  <si>
    <t>c1(c(c(c(Cl)c(c1Cl)Cl)Cl)Cl)Cl</t>
  </si>
  <si>
    <t>H350 / 	H372 / H400 / H410</t>
  </si>
  <si>
    <t>0,00921 mg/L at 15ºC</t>
  </si>
  <si>
    <t>0,001 Pa at 20ºC</t>
  </si>
  <si>
    <t>58,29  Pa,m³,mol-1 at 25 °C</t>
  </si>
  <si>
    <t>11071 L.kg-1</t>
  </si>
  <si>
    <t>325 °C</t>
  </si>
  <si>
    <t>BXL envi
VVM
Biomonitoring BMH-Wal
Etude de sol Wallonie</t>
  </si>
  <si>
    <t>Chlorobenzene</t>
  </si>
  <si>
    <t>monochlorobenzene, MCB, chlorbenzol</t>
  </si>
  <si>
    <t>203-628-5</t>
  </si>
  <si>
    <t>108-90-7</t>
  </si>
  <si>
    <t>C6H5Cl</t>
  </si>
  <si>
    <t>C1=CC=C(C=C1)Cl</t>
  </si>
  <si>
    <t xml:space="preserve"> ≥ 10 000 to &lt; 100 000 tonnes per annum</t>
  </si>
  <si>
    <t>H226 / H315 / H332 / H411</t>
  </si>
  <si>
    <t>499 mg/L at 25ºC</t>
  </si>
  <si>
    <t>15999 Pa at 25ºC</t>
  </si>
  <si>
    <t>247 Pa,m³,mol-1 at 10ºC</t>
  </si>
  <si>
    <t>158,855 L.kg-1</t>
  </si>
  <si>
    <t>131,5 - 131,7 °C</t>
  </si>
  <si>
    <t>1,2-dichlorobenzene</t>
  </si>
  <si>
    <t>di</t>
  </si>
  <si>
    <t>202-425-9</t>
  </si>
  <si>
    <t>95-50-1</t>
  </si>
  <si>
    <t>C1(C(CCCC1)Cl)Cl</t>
  </si>
  <si>
    <t>≥ 10 000 to &lt; 100 000 tonnes per annum</t>
  </si>
  <si>
    <t>H302 / 	H315 / H319 / H335 / H400 / H410</t>
  </si>
  <si>
    <t>156 mg/L at 25ºC</t>
  </si>
  <si>
    <t>181 Pa at 25ºC</t>
  </si>
  <si>
    <t>165 Pa,m³,mol-1 at 10ºC</t>
  </si>
  <si>
    <t>379 L.kg-1</t>
  </si>
  <si>
    <t>180,5 °C</t>
  </si>
  <si>
    <t>1,3-Dichlorobenzene</t>
  </si>
  <si>
    <t>208-792-1</t>
  </si>
  <si>
    <t>541-73-1</t>
  </si>
  <si>
    <t>ClC1=CC(Cl)=CC=C1</t>
  </si>
  <si>
    <t>H302 / H411</t>
  </si>
  <si>
    <t>120 mg/L at 25 °C</t>
  </si>
  <si>
    <t>2,86 hPa at 25 °C</t>
  </si>
  <si>
    <t>311 Pa,m³,mol-1 at 25 °C</t>
  </si>
  <si>
    <t>3,495 at 23,3 °C</t>
  </si>
  <si>
    <t>375,3 L.kg-1</t>
  </si>
  <si>
    <t>173 °C</t>
  </si>
  <si>
    <t>1,2,3-trichlorobenzene</t>
  </si>
  <si>
    <t>tri</t>
  </si>
  <si>
    <t>201-757-1</t>
  </si>
  <si>
    <t>87-61-6</t>
  </si>
  <si>
    <t>C6H3Cl3</t>
  </si>
  <si>
    <t>C1=CC(=C(C(=C1)Cl)Cl)Cl</t>
  </si>
  <si>
    <t>H317 / H400 / H410</t>
  </si>
  <si>
    <t>18 mg/L at 25 °C</t>
  </si>
  <si>
    <t>28 Pa at 25 °C</t>
  </si>
  <si>
    <t>72 Pa,m³,mol-1 at 20 °C</t>
  </si>
  <si>
    <t>2211 L.kg-1</t>
  </si>
  <si>
    <t>218,5 °C</t>
  </si>
  <si>
    <t>VVM
Etude de sol Wallonie</t>
  </si>
  <si>
    <t xml:space="preserve">
Etude de sol Wallonie</t>
  </si>
  <si>
    <t>1,2,4-trichlorobenzene</t>
  </si>
  <si>
    <t>204-428-0</t>
  </si>
  <si>
    <t>120-82-1</t>
  </si>
  <si>
    <t>C1=CC(=C(C=C1Cl)Cl)Cl</t>
  </si>
  <si>
    <t>H302 / H315 / H400 / H410</t>
  </si>
  <si>
    <t>29 mg/L at 25 °C</t>
  </si>
  <si>
    <t xml:space="preserve">11,96 Pa at 10 °C </t>
  </si>
  <si>
    <t>131 Pa,m³,mol-1 at 10 °C</t>
  </si>
  <si>
    <t>2066 L.kg-1</t>
  </si>
  <si>
    <t>213,5 °C</t>
  </si>
  <si>
    <t>1,3,5-trichlorobenzene</t>
  </si>
  <si>
    <t>203-608-6</t>
  </si>
  <si>
    <t>108-70-3</t>
  </si>
  <si>
    <t>ClC1=CC(Cl)=CC(Cl)=C1</t>
  </si>
  <si>
    <t xml:space="preserve">	H411</t>
  </si>
  <si>
    <t>6,01 mg/L at 25 °C</t>
  </si>
  <si>
    <t>32 Pa at 25 °C</t>
  </si>
  <si>
    <t>192,5 Pa,m³,mol-1 at 10 °C</t>
  </si>
  <si>
    <t>3274 L.kg-1</t>
  </si>
  <si>
    <t>208 °C</t>
  </si>
  <si>
    <t>1,2,3,4-tetrachlorobenzene</t>
  </si>
  <si>
    <t>tetra</t>
  </si>
  <si>
    <t>211-214-0</t>
  </si>
  <si>
    <t>634-66-2</t>
  </si>
  <si>
    <t>C6H2Cl4</t>
  </si>
  <si>
    <t>C1=CC(=C(C(=C1Cl)Cl)Cl)Cl</t>
  </si>
  <si>
    <t>H302 / H400 / 	H410</t>
  </si>
  <si>
    <t>2,11 mg/L at 15 °C</t>
  </si>
  <si>
    <t>6,99 Pa at 20 °C</t>
  </si>
  <si>
    <t>58,5 Pa,m³,mol-1 at 20 °C</t>
  </si>
  <si>
    <t>5070 L.kg-1</t>
  </si>
  <si>
    <t>254 °C</t>
  </si>
  <si>
    <t>1,2,3,5-tetrachlorobenzene</t>
  </si>
  <si>
    <t>211-217-7</t>
  </si>
  <si>
    <t>634-90-2</t>
  </si>
  <si>
    <t>C1=C(C=C(C(=C1Cl)Cl)Cl)Cl</t>
  </si>
  <si>
    <t>2,43 mg/L at 15 °C</t>
  </si>
  <si>
    <t>13,98 Pa at 20 °C</t>
  </si>
  <si>
    <t>99 Pa,m³,mol-1 at 20 °C</t>
  </si>
  <si>
    <t>1585 L.kg-1</t>
  </si>
  <si>
    <t>246 °C</t>
  </si>
  <si>
    <t>1,2,4,5-Tetrachlorobenzene</t>
  </si>
  <si>
    <t>202-466-2</t>
  </si>
  <si>
    <t>95-94-3</t>
  </si>
  <si>
    <t>C1=C(C(=CC(=C1Cl)Cl)Cl)Cl</t>
  </si>
  <si>
    <t xml:space="preserve">
H302</t>
  </si>
  <si>
    <t>0,595 mg/L at 25ºC</t>
  </si>
  <si>
    <t>0,72 Pa at 25ºC</t>
  </si>
  <si>
    <t>101 Pa,m³,mol-1 at 25ºC</t>
  </si>
  <si>
    <t>2589 L.kg-1</t>
  </si>
  <si>
    <t>243-246 °C</t>
  </si>
  <si>
    <t>Hexachlorobutadiène</t>
  </si>
  <si>
    <t>Hexachlorobuta-1,3-diene</t>
  </si>
  <si>
    <t>HCBD</t>
  </si>
  <si>
    <t>201-765-5</t>
  </si>
  <si>
    <t>87-68-3</t>
  </si>
  <si>
    <t>C4Cl6</t>
  </si>
  <si>
    <t>C(=C(Cl)Cl)(C(=C(Cl)Cl)Cl)Cl</t>
  </si>
  <si>
    <t xml:space="preserve">organohalogens </t>
  </si>
  <si>
    <t>No REACH registration</t>
  </si>
  <si>
    <t>H301/ H310/ H315/ H318/ H351/ H400/ H410</t>
  </si>
  <si>
    <t xml:space="preserve"> 3,20 mg/l at 25 °C</t>
  </si>
  <si>
    <t>29,3 Pa at 20 °C</t>
  </si>
  <si>
    <t>1043,65 Pa.m³.mol-1 at 20 °C</t>
  </si>
  <si>
    <t>7,88e+3 L/kg</t>
  </si>
  <si>
    <t>212 °C</t>
  </si>
  <si>
    <t>BXL envi, VVM</t>
  </si>
  <si>
    <t>Plastifiants</t>
  </si>
  <si>
    <t>Bis(2-ethylhexyl) phthalate</t>
  </si>
  <si>
    <t>DEHP (DOP)</t>
  </si>
  <si>
    <t>204-211-0</t>
  </si>
  <si>
    <t>117-81-7</t>
  </si>
  <si>
    <t>C24H38O4</t>
  </si>
  <si>
    <t>CCCCC(CC)COC(=O)C1=C(C=CC=C1)C(=O)OCC(CC)CCCC</t>
  </si>
  <si>
    <t xml:space="preserve"> ≥ 10 000 to &lt; 100 000 tonnes per annum.</t>
  </si>
  <si>
    <t xml:space="preserve">Readily biodegradable  </t>
  </si>
  <si>
    <t xml:space="preserve">	H360</t>
  </si>
  <si>
    <t>0.003</t>
  </si>
  <si>
    <t>0.167</t>
  </si>
  <si>
    <t>7,5 at 20 °C</t>
  </si>
  <si>
    <t>4,94</t>
  </si>
  <si>
    <t>87100 L/kg</t>
  </si>
  <si>
    <t>374 °C</t>
  </si>
  <si>
    <t xml:space="preserve">Programme de recherche BioDiEn
VVM </t>
  </si>
  <si>
    <t>Phtalate de benzyle et de butyle</t>
  </si>
  <si>
    <t>BBP</t>
  </si>
  <si>
    <t>201-622-7</t>
  </si>
  <si>
    <t>85-68-7</t>
  </si>
  <si>
    <t>C19H20O4</t>
  </si>
  <si>
    <t>CCCCOC(=O)C1=C(C=CC=C1)C(=O)OCC1=CC=CC=C1</t>
  </si>
  <si>
    <t>H360 / H410</t>
  </si>
  <si>
    <t>2.69</t>
  </si>
  <si>
    <t>0.0010999</t>
  </si>
  <si>
    <t>0.23</t>
  </si>
  <si>
    <t>4,73</t>
  </si>
  <si>
    <t>3,272</t>
  </si>
  <si>
    <t>1871 L/kg</t>
  </si>
  <si>
    <t>370 °C</t>
  </si>
  <si>
    <t>Dibutyl phthalate</t>
  </si>
  <si>
    <t>(DBP)</t>
  </si>
  <si>
    <t>201-557-4</t>
  </si>
  <si>
    <t>84-74-2</t>
  </si>
  <si>
    <t>C16H22O4</t>
  </si>
  <si>
    <t>CCCCOC(=O)C1=C(C=CC=C1)C(=O)OCCCC</t>
  </si>
  <si>
    <t>≥ 1 000 tonnes per annum</t>
  </si>
  <si>
    <t>H360Df / H400</t>
  </si>
  <si>
    <t>10 - 11.4</t>
  </si>
  <si>
    <t>0.01 - 970</t>
  </si>
  <si>
    <t>0.124</t>
  </si>
  <si>
    <t>4,5 at 25 °C</t>
  </si>
  <si>
    <t>3,13</t>
  </si>
  <si>
    <t>1360 L/kg at 20°C</t>
  </si>
  <si>
    <t xml:space="preserve">340 °C </t>
  </si>
  <si>
    <t>Phtalate de diisobutyle</t>
  </si>
  <si>
    <t>DIBP</t>
  </si>
  <si>
    <t>201-553-2</t>
  </si>
  <si>
    <t>84-69-5</t>
  </si>
  <si>
    <t>CC(C)COC(=O)C1=C(C=CC=C1)C(=O)OCC(C)C</t>
  </si>
  <si>
    <t>6.2</t>
  </si>
  <si>
    <t>0.006346</t>
  </si>
  <si>
    <t>0.128</t>
  </si>
  <si>
    <t>4,11</t>
  </si>
  <si>
    <t>3,7</t>
  </si>
  <si>
    <t>5012 L/kg</t>
  </si>
  <si>
    <t>320 °C</t>
  </si>
  <si>
    <t>Dimethyl phthalate</t>
  </si>
  <si>
    <t>DMP</t>
  </si>
  <si>
    <t>205-011-6</t>
  </si>
  <si>
    <t>131-11-3</t>
  </si>
  <si>
    <t>C10H10O4</t>
  </si>
  <si>
    <t>COC(=O)C1=CC=CC=C1C(=O)OC</t>
  </si>
  <si>
    <t>0.411</t>
  </si>
  <si>
    <t>0.218</t>
  </si>
  <si>
    <t>1,60 at 25 °C</t>
  </si>
  <si>
    <t>1,62</t>
  </si>
  <si>
    <t>42 L/kg</t>
  </si>
  <si>
    <t xml:space="preserve">283,1 °C </t>
  </si>
  <si>
    <t>Diethyl phthalate</t>
  </si>
  <si>
    <t>DEP</t>
  </si>
  <si>
    <t>201-550-6</t>
  </si>
  <si>
    <t>84-66-2</t>
  </si>
  <si>
    <t>C12H14O4</t>
  </si>
  <si>
    <t>CCOC(=O)C1=C(C=CC=C1)C(=O)OCC</t>
  </si>
  <si>
    <t>0.28</t>
  </si>
  <si>
    <t>0.026</t>
  </si>
  <si>
    <t>2,2 at 41 °C</t>
  </si>
  <si>
    <t>2,34</t>
  </si>
  <si>
    <t>217 L/kg at 20°C</t>
  </si>
  <si>
    <t xml:space="preserve">297,3 °C </t>
  </si>
  <si>
    <t>Programme de recherche BioDiEn
VVM
Biomonitoring BMH-Wal</t>
  </si>
  <si>
    <t xml:space="preserve">Phtalate de dipropyle </t>
  </si>
  <si>
    <t>DPP</t>
  </si>
  <si>
    <t>205-015-8</t>
  </si>
  <si>
    <t>131-16-8</t>
  </si>
  <si>
    <t>C14H18O4</t>
  </si>
  <si>
    <t>CCCOC(=O)C1=CC=CC=C1C(=O)OCCC</t>
  </si>
  <si>
    <t>H361 / H411</t>
  </si>
  <si>
    <t>0.0175</t>
  </si>
  <si>
    <t>0.0309</t>
  </si>
  <si>
    <t>3,27</t>
  </si>
  <si>
    <t>2,54</t>
  </si>
  <si>
    <t>347 L/kg</t>
  </si>
  <si>
    <t>305°C</t>
  </si>
  <si>
    <t>Phtalate de di-isopen_x0002_tyle</t>
  </si>
  <si>
    <t>DIPP</t>
  </si>
  <si>
    <t>210-088-4</t>
  </si>
  <si>
    <t>605-50-5</t>
  </si>
  <si>
    <t>C18H26O4</t>
  </si>
  <si>
    <t>CC(C)CCOC(=O)C1=CC=CC=C1C(=O)OCCC(C)C</t>
  </si>
  <si>
    <t>10 - 100 tonnes per annum</t>
  </si>
  <si>
    <t>H360FD / H400</t>
  </si>
  <si>
    <t>1.1</t>
  </si>
  <si>
    <t>0.025</t>
  </si>
  <si>
    <t>0.0108</t>
  </si>
  <si>
    <t xml:space="preserve">
4,57 to 5,52</t>
  </si>
  <si>
    <t>3,32</t>
  </si>
  <si>
    <t>2090 L/kg</t>
  </si>
  <si>
    <t>339 °C</t>
  </si>
  <si>
    <t>Phtalate de n-pentyl_x0002_isopentyle</t>
  </si>
  <si>
    <t>NPIPP</t>
  </si>
  <si>
    <t>933-378-9</t>
  </si>
  <si>
    <t>776297-69-9</t>
  </si>
  <si>
    <t>CCCCCOC(=O)C1=CC=CC=C1C(=O)OCCC(C)C</t>
  </si>
  <si>
    <t>Phtalate de bis(2-mé_x0002_hoxyéthyle)</t>
  </si>
  <si>
    <t>DMEP</t>
  </si>
  <si>
    <t>117-82-8</t>
  </si>
  <si>
    <t>CC(C)CCOC(=O)C1=C(C=CC=C1)C(=O)OCCC(C)C</t>
  </si>
  <si>
    <t>H360df</t>
  </si>
  <si>
    <t>0.0004</t>
  </si>
  <si>
    <t xml:space="preserve">
0,806 to 1,64</t>
  </si>
  <si>
    <t>2,52</t>
  </si>
  <si>
    <t>331 L/kg</t>
  </si>
  <si>
    <t>Dioctyl phthalate</t>
  </si>
  <si>
    <t>DnOP</t>
  </si>
  <si>
    <t>204-214-7</t>
  </si>
  <si>
    <t>117-84-0</t>
  </si>
  <si>
    <t>CCCCCCCCOC(=O)c1ccccc1C(=O)OCCCCCCCC</t>
  </si>
  <si>
    <t>0.022</t>
  </si>
  <si>
    <t>0.0000133322</t>
  </si>
  <si>
    <t>0.37</t>
  </si>
  <si>
    <t>8,1</t>
  </si>
  <si>
    <t>4,28</t>
  </si>
  <si>
    <t>19055 L/kg</t>
  </si>
  <si>
    <t>220 °C</t>
  </si>
  <si>
    <t>Di-''isononyl'' phthalate</t>
  </si>
  <si>
    <t>DiNP</t>
  </si>
  <si>
    <t>249-079-5</t>
  </si>
  <si>
    <t>28553-12-0</t>
  </si>
  <si>
    <t>C26H42O4</t>
  </si>
  <si>
    <t>CC(C)CCCCCCOC(=O)C1=C(C=CC=C1)C(=O)OCCCCCCC(C)C</t>
  </si>
  <si>
    <t>0.0006</t>
  </si>
  <si>
    <t>41.4</t>
  </si>
  <si>
    <t>8,8 - 9,7 at 25 °C</t>
  </si>
  <si>
    <t>5,46</t>
  </si>
  <si>
    <t>286000	L/kg</t>
  </si>
  <si>
    <t xml:space="preserve">341 °C </t>
  </si>
  <si>
    <t>Phtalate de di-isodécyle</t>
  </si>
  <si>
    <t>(DiDP)</t>
  </si>
  <si>
    <t>247-977-1</t>
  </si>
  <si>
    <t>26761-40-0</t>
  </si>
  <si>
    <t>C28H46O4</t>
  </si>
  <si>
    <t>CC(C)CCCCCCCOC(=O)C1=CC=CC=C1C(=O)OCCCCCCCC(C)C</t>
  </si>
  <si>
    <t>100000 - 1000000 tonnes per annum</t>
  </si>
  <si>
    <t>0.0000704</t>
  </si>
  <si>
    <t>21.6</t>
  </si>
  <si>
    <t>10,36</t>
  </si>
  <si>
    <t>5,04</t>
  </si>
  <si>
    <t>109648 L/kg</t>
  </si>
  <si>
    <t>&gt;400°C</t>
  </si>
  <si>
    <t xml:space="preserve">Phtalate de di-2-(propyl_x0002_heptyle) </t>
  </si>
  <si>
    <t>(DPHP</t>
  </si>
  <si>
    <t>258-469-4</t>
  </si>
  <si>
    <t>53306-54-0</t>
  </si>
  <si>
    <t>CCCCCC(CCC)COC(=O)C1=C(C=CC=C1)C(=O)OCC(CCC)CCCCC</t>
  </si>
  <si>
    <t>≥ 100 000 to &lt; 1 000 000 tonnes per annum</t>
  </si>
  <si>
    <t>0.0000022</t>
  </si>
  <si>
    <t>0.016</t>
  </si>
  <si>
    <t>19100 L/kg</t>
  </si>
  <si>
    <t>252,5 - 253,4 °C</t>
  </si>
  <si>
    <t>dipentylphtalate</t>
  </si>
  <si>
    <t>205-017-9</t>
  </si>
  <si>
    <t>131-18-0</t>
  </si>
  <si>
    <t>CCCCCOC(=O)C1=CC=CC=C1C(=O)OCCCCC</t>
  </si>
  <si>
    <t>0.8</t>
  </si>
  <si>
    <t>0.02613</t>
  </si>
  <si>
    <t>0.302</t>
  </si>
  <si>
    <t>4,4</t>
  </si>
  <si>
    <t>25119 L/kg</t>
  </si>
  <si>
    <t>Phtalate de dicyclohexyle</t>
  </si>
  <si>
    <t>DCHP/DDP</t>
  </si>
  <si>
    <t>201-545-9</t>
  </si>
  <si>
    <t>84-61-7</t>
  </si>
  <si>
    <t>C20H26O4</t>
  </si>
  <si>
    <t>O=C(OC1CCCCC1)C1=C(C=CC=C1)C(=O)OC1CCCCC1</t>
  </si>
  <si>
    <t xml:space="preserve">Inherently biodegradable  </t>
  </si>
  <si>
    <t>H317 / H360 / H411</t>
  </si>
  <si>
    <t>0.0031</t>
  </si>
  <si>
    <t>5,32 to 6,20</t>
  </si>
  <si>
    <t>3,46</t>
  </si>
  <si>
    <t>2 884 L/kg</t>
  </si>
  <si>
    <t>322,03 °C</t>
  </si>
  <si>
    <t xml:space="preserve">Programme de recherche BioDiEn
</t>
  </si>
  <si>
    <t>Diheptyl phthalate</t>
  </si>
  <si>
    <t>DHP</t>
  </si>
  <si>
    <t>222-885-4</t>
  </si>
  <si>
    <t>3648-21-3</t>
  </si>
  <si>
    <t>C22H34O4</t>
  </si>
  <si>
    <t>CCCCCCCOC(=O)C1=CC=CC=C1C(=O)OCCCCCCC</t>
  </si>
  <si>
    <t>H315 / H319 / H335 / H361</t>
  </si>
  <si>
    <t>0.001832</t>
  </si>
  <si>
    <t>0.000276</t>
  </si>
  <si>
    <t>0.359</t>
  </si>
  <si>
    <t>7,56</t>
  </si>
  <si>
    <t>4,76</t>
  </si>
  <si>
    <t>57003 L/kg</t>
  </si>
  <si>
    <t>360 °C</t>
  </si>
  <si>
    <t>Dihexyl phthalate</t>
  </si>
  <si>
    <t xml:space="preserve">HSDB 4490 / NSC 4817 </t>
  </si>
  <si>
    <t>201-559-5</t>
  </si>
  <si>
    <t>84-75-3</t>
  </si>
  <si>
    <t>C20H30O4</t>
  </si>
  <si>
    <t>CCCCCCOC(=O)C1=CC=CC=C1C(=O)OCCCCCC</t>
  </si>
  <si>
    <t>0.05</t>
  </si>
  <si>
    <t>0.0018651</t>
  </si>
  <si>
    <t>0.0206742</t>
  </si>
  <si>
    <t>6,82</t>
  </si>
  <si>
    <t>12770 L/kg</t>
  </si>
  <si>
    <t xml:space="preserve">210 °C </t>
  </si>
  <si>
    <t>Diisohexyl phthalate</t>
  </si>
  <si>
    <t>276-090-2</t>
  </si>
  <si>
    <t>71850-09-4</t>
  </si>
  <si>
    <t>CC(C)CCCOC(=O)C1=CC=CC=C1C(=O)OCCCC(C)C</t>
  </si>
  <si>
    <t>Diisooctyl phthalate</t>
  </si>
  <si>
    <t>HSDB 588 / NSC 6381</t>
  </si>
  <si>
    <t>248-523-5</t>
  </si>
  <si>
    <t>27554-26-3</t>
  </si>
  <si>
    <t>CC(C)CCCCCOC(=O)C1=CC=CC=C1C(=O)OCCCCCC(C)C</t>
  </si>
  <si>
    <t>H360 / H413</t>
  </si>
  <si>
    <t>0.09</t>
  </si>
  <si>
    <t>0.00073471</t>
  </si>
  <si>
    <t>3.95</t>
  </si>
  <si>
    <t>8,39</t>
  </si>
  <si>
    <t>5,00</t>
  </si>
  <si>
    <t>99630 L/kg</t>
  </si>
  <si>
    <t>270 °C</t>
  </si>
  <si>
    <t>Dinonyl phthalate</t>
  </si>
  <si>
    <t>DNP</t>
  </si>
  <si>
    <t>201-560-0</t>
  </si>
  <si>
    <t>84-76-4</t>
  </si>
  <si>
    <t>CCCCCCCCCOC(=O)C1=CC=CC=C1C(=O)OCCCCCCCCC</t>
  </si>
  <si>
    <t>0.00001735</t>
  </si>
  <si>
    <t>0.000068528</t>
  </si>
  <si>
    <t>9,52</t>
  </si>
  <si>
    <t>5,67</t>
  </si>
  <si>
    <t>467700 L/kg</t>
  </si>
  <si>
    <t>413 °C</t>
  </si>
  <si>
    <t>Dioctyl isophthalate (Di-2-ethylhexyl isophthalate)</t>
  </si>
  <si>
    <t>DOIP</t>
  </si>
  <si>
    <t>205-308-0</t>
  </si>
  <si>
    <t>137-89-3</t>
  </si>
  <si>
    <t>CCCCC(CC)COC(=O)C1=CC(=CC=C1)C(=O)OCC(CC)CCCC</t>
  </si>
  <si>
    <t>H360 / H400</t>
  </si>
  <si>
    <t>0.216</t>
  </si>
  <si>
    <t>0.54164</t>
  </si>
  <si>
    <t>0.024851</t>
  </si>
  <si>
    <t>7,53 to 9,52</t>
  </si>
  <si>
    <t>4,24</t>
  </si>
  <si>
    <t>17400 L/kg</t>
  </si>
  <si>
    <t>404 °C</t>
  </si>
  <si>
    <t>Octyl decyl phthalate</t>
  </si>
  <si>
    <t>ODP</t>
  </si>
  <si>
    <t>204-295-9</t>
  </si>
  <si>
    <t>119-07-3</t>
  </si>
  <si>
    <t>CCCCCCCCCCOC(=O)C1=CC=CC=C1C(=O)OCCCCCCCC</t>
  </si>
  <si>
    <t>H315 / H319 / H335 / H361 / H362 / H411</t>
  </si>
  <si>
    <t>44.3</t>
  </si>
  <si>
    <t>0.000052</t>
  </si>
  <si>
    <t>0.01304625</t>
  </si>
  <si>
    <t>7,72 to 10,1</t>
  </si>
  <si>
    <t>4,02</t>
  </si>
  <si>
    <t>10500 L/kg</t>
  </si>
  <si>
    <t>233-267 °C</t>
  </si>
  <si>
    <t>Tris(2-ethylhexyl) trimellitate</t>
  </si>
  <si>
    <t>TOTM</t>
  </si>
  <si>
    <t>222-020-0</t>
  </si>
  <si>
    <t>3319-31-1</t>
  </si>
  <si>
    <t>C33H54O6</t>
  </si>
  <si>
    <t>CCCCC(CC)COC(=O)C1=CC=C(C(=O)OCC(CC)CCCC)C(=C1)C(=O)OCC(CC)CCCC</t>
  </si>
  <si>
    <t xml:space="preserve">Not readily biodegradable  </t>
  </si>
  <si>
    <t>0.0000018</t>
  </si>
  <si>
    <t>0.051</t>
  </si>
  <si>
    <t>8</t>
  </si>
  <si>
    <t>22,96</t>
  </si>
  <si>
    <t>9,13E+22 L/kg</t>
  </si>
  <si>
    <t>355 °C</t>
  </si>
  <si>
    <t>Triisobutyl phosphate</t>
  </si>
  <si>
    <t>TiBP</t>
  </si>
  <si>
    <t>204-798-3</t>
  </si>
  <si>
    <t>126-71-6</t>
  </si>
  <si>
    <t>C12H27O4P</t>
  </si>
  <si>
    <t>CC(C)COP(=O)(OCC(C)C)OCC(C)C</t>
  </si>
  <si>
    <t>H317</t>
  </si>
  <si>
    <t>0.2</t>
  </si>
  <si>
    <t>0.142</t>
  </si>
  <si>
    <t>3,72 at 25 °C</t>
  </si>
  <si>
    <t>3,15</t>
  </si>
  <si>
    <t>1398 L/kg at 20°C</t>
  </si>
  <si>
    <t>280 °C</t>
  </si>
  <si>
    <t>Tributyl phosphate</t>
  </si>
  <si>
    <t>TBP</t>
  </si>
  <si>
    <t>204-800-2</t>
  </si>
  <si>
    <t>126-73-8</t>
  </si>
  <si>
    <t>CCCCOP(=O)(OCCCC)OCCCC</t>
  </si>
  <si>
    <t>H302 / H315 / H351</t>
  </si>
  <si>
    <t>4 at 20 °C</t>
  </si>
  <si>
    <t>3,24</t>
  </si>
  <si>
    <t>1724 L/kg at 20°C</t>
  </si>
  <si>
    <t>289 °C</t>
  </si>
  <si>
    <t>Tributyl citrate</t>
  </si>
  <si>
    <t>Uniplex 83</t>
  </si>
  <si>
    <t>201-071-2</t>
  </si>
  <si>
    <t>77-94-1</t>
  </si>
  <si>
    <t>C18H32O7</t>
  </si>
  <si>
    <t>CCCCOC(=O)CC(O)(CC(=O)OCCCC)C(=O)OCCCC</t>
  </si>
  <si>
    <t>102.7</t>
  </si>
  <si>
    <t>0.01</t>
  </si>
  <si>
    <t>3,5</t>
  </si>
  <si>
    <t>2,89</t>
  </si>
  <si>
    <t>769,9 L/kg</t>
  </si>
  <si>
    <t>309 °C</t>
  </si>
  <si>
    <t>Triethyl citrate</t>
  </si>
  <si>
    <t>629-703-6</t>
  </si>
  <si>
    <t>77-93-0</t>
  </si>
  <si>
    <t>C12H20O7</t>
  </si>
  <si>
    <t>CCOC(=O)CC(O)(CC(=O)OCC)C(=O)OCC</t>
  </si>
  <si>
    <t>0.25</t>
  </si>
  <si>
    <t>1,17 at 40 °C</t>
  </si>
  <si>
    <t>1,32</t>
  </si>
  <si>
    <t>21,02  L/kg at 20°C</t>
  </si>
  <si>
    <t>286,8 °C</t>
  </si>
  <si>
    <t>Acetyl Tributyl Citrate</t>
  </si>
  <si>
    <t>ATBC</t>
  </si>
  <si>
    <t xml:space="preserve">
201-067-0</t>
  </si>
  <si>
    <t>77-90-7</t>
  </si>
  <si>
    <t>C20H34O8</t>
  </si>
  <si>
    <t>CCCCOC(=O)CC(CC(=O)OCCCC)(OC(C)=O)C(=O)OCCCC</t>
  </si>
  <si>
    <t>at ≥ 10 000 to &lt; 100 000 tonnes per annum</t>
  </si>
  <si>
    <t>4.49</t>
  </si>
  <si>
    <t>0.049</t>
  </si>
  <si>
    <t>0.0000385</t>
  </si>
  <si>
    <t xml:space="preserve">
4,29 to 6,92</t>
  </si>
  <si>
    <t>4,27</t>
  </si>
  <si>
    <t>18664 L/kg</t>
  </si>
  <si>
    <t>331°C</t>
  </si>
  <si>
    <t>Naphtalène</t>
  </si>
  <si>
    <t>NAP</t>
  </si>
  <si>
    <t>202-049-5</t>
  </si>
  <si>
    <t>91-20-3</t>
  </si>
  <si>
    <t>C10H8</t>
  </si>
  <si>
    <t>C1=CC2=C(C=C1)C=CC=C2</t>
  </si>
  <si>
    <t>H302 / H351 / H400 / H410</t>
  </si>
  <si>
    <t>31.7</t>
  </si>
  <si>
    <t>10.5</t>
  </si>
  <si>
    <t>44.58</t>
  </si>
  <si>
    <t xml:space="preserve">3,7 </t>
  </si>
  <si>
    <t>2,58</t>
  </si>
  <si>
    <t>378 L/kg</t>
  </si>
  <si>
    <t>218,2 °C</t>
  </si>
  <si>
    <t>Programme de recherche BioDiEn
VVM
Bruxelles Environnement</t>
  </si>
  <si>
    <t>Extracts (petroleum). heavy paraffinic distillate solvent</t>
  </si>
  <si>
    <t>DAE</t>
  </si>
  <si>
    <t>265-103-7</t>
  </si>
  <si>
    <t>64742-04-7</t>
  </si>
  <si>
    <t>≥ 1 000 000 to &lt; 10 000 000 tonnes per annum</t>
  </si>
  <si>
    <t>200 - 640 °C</t>
  </si>
  <si>
    <t>Diisopropylnaphthalene</t>
  </si>
  <si>
    <t>DIPN</t>
  </si>
  <si>
    <t>254-052-6</t>
  </si>
  <si>
    <t>38640-62-9</t>
  </si>
  <si>
    <t>C16H20</t>
  </si>
  <si>
    <t>CC(C)C1=C(C(C)C)C2=CC=CC=C2C=C1</t>
  </si>
  <si>
    <t>H304 / H410</t>
  </si>
  <si>
    <t>0.125</t>
  </si>
  <si>
    <t>1.422</t>
  </si>
  <si>
    <t>6,081 at 20 °C</t>
  </si>
  <si>
    <t>4,56</t>
  </si>
  <si>
    <t>36108 L/kg at 20°C</t>
  </si>
  <si>
    <t>292 °C</t>
  </si>
  <si>
    <t>2-Ethylhexanoic acid 2-ethylhexyl ester</t>
  </si>
  <si>
    <t>231-057-1</t>
  </si>
  <si>
    <t>7425-14-1</t>
  </si>
  <si>
    <t>C16H32O2</t>
  </si>
  <si>
    <t>H361d</t>
  </si>
  <si>
    <t xml:space="preserve">0.049 to 21.82 </t>
  </si>
  <si>
    <t>0.3148</t>
  </si>
  <si>
    <t>3,44</t>
  </si>
  <si>
    <t>2750 L/kg</t>
  </si>
  <si>
    <t>291 °C</t>
  </si>
  <si>
    <t>Hydroxycyclohexyl phenyl ketone</t>
  </si>
  <si>
    <t>RC 84</t>
  </si>
  <si>
    <t>213-426-9</t>
  </si>
  <si>
    <t>947-19-3</t>
  </si>
  <si>
    <t>C13H16O2</t>
  </si>
  <si>
    <t>OC1(CCCCC1)C(=O)C1=CC=CC=C1</t>
  </si>
  <si>
    <t>H412</t>
  </si>
  <si>
    <t>0.02</t>
  </si>
  <si>
    <t>0.282</t>
  </si>
  <si>
    <t>2,81 at 25 °C</t>
  </si>
  <si>
    <t>82,83 L/kg at 20°C</t>
  </si>
  <si>
    <t>316,1 °C</t>
  </si>
  <si>
    <t>N-butyl-benzenesulphonamide</t>
  </si>
  <si>
    <t>222-823-6</t>
  </si>
  <si>
    <t>3622-84-2</t>
  </si>
  <si>
    <t>C10H15NO2S</t>
  </si>
  <si>
    <t>CCCCNS(=O)(=O)C1=CC=CC=C1</t>
  </si>
  <si>
    <t>0.017</t>
  </si>
  <si>
    <t>2,01</t>
  </si>
  <si>
    <t>1,94</t>
  </si>
  <si>
    <t>87,1 L/kg</t>
  </si>
  <si>
    <t>314 °C</t>
  </si>
  <si>
    <t>N-Methyl-2-pyrrolidone</t>
  </si>
  <si>
    <t>NMP</t>
  </si>
  <si>
    <t>212-828-1</t>
  </si>
  <si>
    <t>872-50-4</t>
  </si>
  <si>
    <t>C5H9NO</t>
  </si>
  <si>
    <t>CN1CCCC1=O</t>
  </si>
  <si>
    <t>H315 / H319 / H335 / H360</t>
  </si>
  <si>
    <t>0.0003</t>
  </si>
  <si>
    <t>0,46 at 25 °C</t>
  </si>
  <si>
    <t>1,75</t>
  </si>
  <si>
    <t>56,2 L/kg</t>
  </si>
  <si>
    <t>204,1 °C</t>
  </si>
  <si>
    <t>Distillates (petroleum). hydrotreated heavy paraffinic</t>
  </si>
  <si>
    <t>MES</t>
  </si>
  <si>
    <t>265-157-1</t>
  </si>
  <si>
    <t>64742-54-7</t>
  </si>
  <si>
    <t>Propane-1.2-diol. propoxylated</t>
  </si>
  <si>
    <t>ACTCOL 21-56K / Petol 250-2 / Petol PS 460-5P</t>
  </si>
  <si>
    <t>500-039-8</t>
  </si>
  <si>
    <t>25322-69-4</t>
  </si>
  <si>
    <t>C6H14O3</t>
  </si>
  <si>
    <t>CC(CO)OCC(C)O</t>
  </si>
  <si>
    <t>0.0839</t>
  </si>
  <si>
    <t>0.0000112</t>
  </si>
  <si>
    <t>0,01</t>
  </si>
  <si>
    <t>0,10</t>
  </si>
  <si>
    <t>1 L/kg</t>
  </si>
  <si>
    <t>287,6 °C</t>
  </si>
  <si>
    <t>Nonylphenol *1</t>
  </si>
  <si>
    <t>2-Nonylphenol</t>
  </si>
  <si>
    <t>246-672-0</t>
  </si>
  <si>
    <t>25154-52-3</t>
  </si>
  <si>
    <t>C15H24O</t>
  </si>
  <si>
    <t>CCCCCCCCCC1=CC=CC=C1O</t>
  </si>
  <si>
    <t>H302 / H314 / H361fd / H400 / H410</t>
  </si>
  <si>
    <t>35.7</t>
  </si>
  <si>
    <t>0.766</t>
  </si>
  <si>
    <t>211.77</t>
  </si>
  <si>
    <t>1,30</t>
  </si>
  <si>
    <t>3,47</t>
  </si>
  <si>
    <t>2950 L/kg</t>
  </si>
  <si>
    <t xml:space="preserve">
281 °C</t>
  </si>
  <si>
    <t>VVM, BXL ENVI</t>
  </si>
  <si>
    <t>triacetin</t>
  </si>
  <si>
    <t>GTA</t>
  </si>
  <si>
    <t>203-051-9</t>
  </si>
  <si>
    <t>102-76-1</t>
  </si>
  <si>
    <t>C9H14O6</t>
  </si>
  <si>
    <t>CC(=O)OCC(COC(C)=O)OC(C)=O</t>
  </si>
  <si>
    <t>≥ 10 000 to &lt; 100 000 tonnes per annum.</t>
  </si>
  <si>
    <t>0.331</t>
  </si>
  <si>
    <t>0,25 - 0,36</t>
  </si>
  <si>
    <t>1,09</t>
  </si>
  <si>
    <t>12,4 L/kg</t>
  </si>
  <si>
    <t>258 - 259 °C</t>
  </si>
  <si>
    <t>2.2.4-TRIMETHYL-1.3-PENTANEDIOL DIISOBUTYRATE</t>
  </si>
  <si>
    <t>TXIB</t>
  </si>
  <si>
    <t>229-934-9</t>
  </si>
  <si>
    <t>6846-50-0</t>
  </si>
  <si>
    <t>C16H30O4</t>
  </si>
  <si>
    <t>CC(C)C(OC(=O)C(C)C)C(C)(C)COC(=O)C(C)C</t>
  </si>
  <si>
    <t>H361 / H412</t>
  </si>
  <si>
    <t>1.5</t>
  </si>
  <si>
    <t>4,91 at 25 °C</t>
  </si>
  <si>
    <t>2,81</t>
  </si>
  <si>
    <t>646 L/kg</t>
  </si>
  <si>
    <t>281 °C</t>
  </si>
  <si>
    <t>SCCP</t>
  </si>
  <si>
    <t>Alkanes, C10-13, chloro</t>
  </si>
  <si>
    <t>CERECLOR</t>
  </si>
  <si>
    <t>287-476-5</t>
  </si>
  <si>
    <t>85535-84-8</t>
  </si>
  <si>
    <t>None</t>
  </si>
  <si>
    <t>This substance is a UVCB, which means that it contains a range of substances. Therefore, SMILES codes don't apply because a SMILES code is specific for one substance only</t>
  </si>
  <si>
    <t>Production of this substance in Europe has stopped</t>
  </si>
  <si>
    <t>not readily biodegradable</t>
  </si>
  <si>
    <t>H351 / 	H400 / H410</t>
  </si>
  <si>
    <t>4,48 - 8,69</t>
  </si>
  <si>
    <t>200 °C</t>
  </si>
  <si>
    <t xml:space="preserve"> mobilité</t>
  </si>
  <si>
    <t>Total</t>
  </si>
  <si>
    <t>Biomonitoring (susbtance analysée)</t>
  </si>
  <si>
    <t>Total scoring (analyse)</t>
  </si>
  <si>
    <t>Biomonitoring (susbtance détectée)</t>
  </si>
  <si>
    <t>Total scoring (avec détection)</t>
  </si>
  <si>
    <t>X si catégorie 1, 2 ou 3 ((éco)tox)</t>
  </si>
  <si>
    <t>X si déjà biomonitoré</t>
  </si>
  <si>
    <t>Sélection finale</t>
  </si>
  <si>
    <t>Dioxines et furanes</t>
  </si>
  <si>
    <t>2.3.7.8 Tétrachlorodibenzodioxine</t>
  </si>
  <si>
    <t>TCDD / dioxine de Seveso</t>
  </si>
  <si>
    <t>217-122-7</t>
  </si>
  <si>
    <t>1746-01-6</t>
  </si>
  <si>
    <t>C12H4Cl4O2</t>
  </si>
  <si>
    <t>ClC=1C=C2C(OC=3C(O2)=CC(Cl)=C(Cl)C3)=CC1Cl</t>
  </si>
  <si>
    <t>Chlorinated Dioxines</t>
  </si>
  <si>
    <t>Chlorinated Dibenzo-p-dioxins</t>
  </si>
  <si>
    <t>H300/ H319/ H400/ H410</t>
  </si>
  <si>
    <t>2,00E-04 mg/L at 25 °C</t>
  </si>
  <si>
    <t>0,0000002 Pa</t>
  </si>
  <si>
    <t>0,839 Pa·m³/mol at 25 °C</t>
  </si>
  <si>
    <t>6,8</t>
  </si>
  <si>
    <t>430527 L.kg-1</t>
  </si>
  <si>
    <t>498,9°C</t>
  </si>
  <si>
    <t>1.2.3.7.8 Pentachlorodibenzodioxine</t>
  </si>
  <si>
    <t>1.2.3.7.8-PeCDD</t>
  </si>
  <si>
    <t>694-814-9</t>
  </si>
  <si>
    <t>40321-76-4</t>
  </si>
  <si>
    <t>C12H3Cl5O2</t>
  </si>
  <si>
    <t>ClC1=C2C(OC=3C(O2)=CC(Cl)=C(Cl)C3)=CC(Cl)=C1Cl</t>
  </si>
  <si>
    <t>H300/ H413</t>
  </si>
  <si>
    <t>9,82E-5 mg/L</t>
  </si>
  <si>
    <t>5,80E-8 Pa</t>
  </si>
  <si>
    <t>1,48 Pa·m³/mol</t>
  </si>
  <si>
    <t>7,50</t>
  </si>
  <si>
    <t>7,50e+5 L.kg-1</t>
  </si>
  <si>
    <t>407°C</t>
  </si>
  <si>
    <t>1.2.3.4.7.8 Hexachlorodibenzodioxine</t>
  </si>
  <si>
    <t>1.2.3.4.7.8-HxCDD</t>
  </si>
  <si>
    <t>694-767-4</t>
  </si>
  <si>
    <t>39227-28-6</t>
  </si>
  <si>
    <t>C12H2Cl6O2</t>
  </si>
  <si>
    <t>ClC1=C2C(OC=3C(O2)=CC(Cl)=C(Cl)C3)=C(Cl)C(Cl)=C1Cl</t>
  </si>
  <si>
    <t>H301/ H319/ H335/ H341/ H400/ H410</t>
  </si>
  <si>
    <t>4,0E-6 mg/L at 20 °C</t>
  </si>
  <si>
    <t>5,863E-9 Pa at 25 °C</t>
  </si>
  <si>
    <t>0,332 Pa.m³/mol at 25 °C</t>
  </si>
  <si>
    <t>7,8</t>
  </si>
  <si>
    <t>9,90e+5 L.kg-1</t>
  </si>
  <si>
    <t>423°C</t>
  </si>
  <si>
    <t>1.2.3.7.8.9 Hexachlorodibenzodioxine</t>
  </si>
  <si>
    <t>1.2.3.7.8.9-HxCDD</t>
  </si>
  <si>
    <t>694-810-7</t>
  </si>
  <si>
    <t>19408-74-3</t>
  </si>
  <si>
    <t>C1=C2C(=C(C(=C1Cl)Cl)Cl)OC3=C(C(=C(C=C3O2)Cl)Cl)Cl</t>
  </si>
  <si>
    <t>H302/ H400/ H410</t>
  </si>
  <si>
    <t>0,000634 mg/L at 25 °C</t>
  </si>
  <si>
    <t>1,38E-6 Pa at 25 °C</t>
  </si>
  <si>
    <t>7,01178 Pa·m³/mol</t>
  </si>
  <si>
    <t>7,63</t>
  </si>
  <si>
    <t>1,07e+6 L.kg-1</t>
  </si>
  <si>
    <t>487,7°C</t>
  </si>
  <si>
    <t xml:space="preserve">1.2.3.6.7.8 Hexachlorodibenzodioxine </t>
  </si>
  <si>
    <t>1.2.3.6.7.8-HxCDD</t>
  </si>
  <si>
    <t>694-811-2</t>
  </si>
  <si>
    <t>57653-85-7</t>
  </si>
  <si>
    <t>C1=C2C(=C(C(=C1Cl)Cl)Cl)OC3=CC(=C(C(=C3O2)Cl)Cl)Cl</t>
  </si>
  <si>
    <t>H301/ H319/ H413</t>
  </si>
  <si>
    <t>8,75E-4 mg/</t>
  </si>
  <si>
    <t>4,79392E-9 Pa at 25 °C</t>
  </si>
  <si>
    <t xml:space="preserve">0,1925 Pa·m³/mol at 25 °C </t>
  </si>
  <si>
    <t xml:space="preserve">8,21 </t>
  </si>
  <si>
    <t>1,74e+6 L.kg-1</t>
  </si>
  <si>
    <t xml:space="preserve">1.2.3.4.6.7.8 Heptachlorodibenzodioxine </t>
  </si>
  <si>
    <t>1.2.3.4.6.7.8-HpCDD</t>
  </si>
  <si>
    <t>694-835-3</t>
  </si>
  <si>
    <t>35822-46-9</t>
  </si>
  <si>
    <t>C12HCl7O2</t>
  </si>
  <si>
    <t>C1=C2C(=C(C(=C1Cl)Cl)Cl)OC3=C(O2)C(=C(C(=C3Cl)Cl)Cl)Cl</t>
  </si>
  <si>
    <t>H319/ H335/ H341/ H400/ H410</t>
  </si>
  <si>
    <t xml:space="preserve"> 1,9E-3 mg/L</t>
  </si>
  <si>
    <t>4,41E-9 Pa at 25 °C</t>
  </si>
  <si>
    <t>0,133 Pa·m³·mol at 25 °C</t>
  </si>
  <si>
    <t>1,70e+6 L.kg-1</t>
  </si>
  <si>
    <t>507,2°C</t>
  </si>
  <si>
    <t>1.2.3.4.6.7.8.9 Octachlorodibenzodioxine</t>
  </si>
  <si>
    <t xml:space="preserve"> (OCDD)</t>
  </si>
  <si>
    <t>694-813-3</t>
  </si>
  <si>
    <t>3268-87-9</t>
  </si>
  <si>
    <t>C12Cl8O</t>
  </si>
  <si>
    <t>C12=C(C(=C(C(=C1Cl)Cl)Cl)Cl)OC3=C(O2)C(=C(C(=C3Cl)Cl)Cl)Cl</t>
  </si>
  <si>
    <t>H300/H400/ H410</t>
  </si>
  <si>
    <t>4,00E-07 mg/L</t>
  </si>
  <si>
    <t>1,10E-10 Pa at 25 °C</t>
  </si>
  <si>
    <t>0,679 Pa·m³·mol at 25 °C</t>
  </si>
  <si>
    <t>8,20</t>
  </si>
  <si>
    <t>5,55e+5 L.kg-1</t>
  </si>
  <si>
    <t>510°C</t>
  </si>
  <si>
    <t xml:space="preserve">2.3.7.8 Tétrachlorodibenzofuranne </t>
  </si>
  <si>
    <t>2.3.7.8-TCDF</t>
  </si>
  <si>
    <t>694-829-0</t>
  </si>
  <si>
    <t>51207-31-9</t>
  </si>
  <si>
    <t>C12H4Cl4O</t>
  </si>
  <si>
    <t>ClC=1C=C2C=3C(OC2=CC1Cl)=CC(Cl)=C(Cl)C3</t>
  </si>
  <si>
    <t>Chlorinated Furanes</t>
  </si>
  <si>
    <t>Chlorodibenzofurans (CDFs)</t>
  </si>
  <si>
    <t>H300/ H310/ H330/ H400/ H411</t>
  </si>
  <si>
    <t>3,51E-3 mg/L at 25 °C</t>
  </si>
  <si>
    <t>0,0002043216 Pa</t>
  </si>
  <si>
    <t>1,50 Pa·m³/mol</t>
  </si>
  <si>
    <t>6,53</t>
  </si>
  <si>
    <t>2,41e+5 L.kg-1</t>
  </si>
  <si>
    <t>438,3°C</t>
  </si>
  <si>
    <t xml:space="preserve">2.3.4.7.8 Pentachlorodibenzofuranne </t>
  </si>
  <si>
    <t>2.3.4.7.8-PeCDF</t>
  </si>
  <si>
    <t>694-761-1</t>
  </si>
  <si>
    <t>57117-31-4</t>
  </si>
  <si>
    <t>C33H27N3O6</t>
  </si>
  <si>
    <t>C1=C2C3=CC(=C(C(=C3OC2=CC(=C1Cl)Cl)Cl)Cl)Cl</t>
  </si>
  <si>
    <t>H300/ H319/ H335/ H350/ H373/ H400/ H410</t>
  </si>
  <si>
    <t>0,000235 mg/L at 23 °C</t>
  </si>
  <si>
    <t>4,66717E-5 Pa</t>
  </si>
  <si>
    <t xml:space="preserve">0,5063825 Pa·m³/mol at 25 °C </t>
  </si>
  <si>
    <t>6,92</t>
  </si>
  <si>
    <t>6,21e+5 L.kg-1</t>
  </si>
  <si>
    <t>413°C</t>
  </si>
  <si>
    <t xml:space="preserve">1.2.3.7.8 Pentachlorodibenzofuranne </t>
  </si>
  <si>
    <t>1.2.3.7.8-PeCDF</t>
  </si>
  <si>
    <t>694-762-7</t>
  </si>
  <si>
    <t>57117-41-6</t>
  </si>
  <si>
    <t>C12H3Cl5O</t>
  </si>
  <si>
    <t>ClC1=C2C=3C(OC2=CC(Cl)=C1Cl)=CC(Cl)=C(Cl)C3</t>
  </si>
  <si>
    <t>0,0679 mg/L</t>
  </si>
  <si>
    <t>6,17E-5 Pa</t>
  </si>
  <si>
    <t>1,91 Pa⋅m³/mol</t>
  </si>
  <si>
    <t>6,99</t>
  </si>
  <si>
    <t>6,49e+5 L.kg-1</t>
  </si>
  <si>
    <t>464,7°C</t>
  </si>
  <si>
    <t>1.2.3.4.7.8 Hexachlorodibenzofuranne</t>
  </si>
  <si>
    <t>1.2.3.4.7.8-HxCDF</t>
  </si>
  <si>
    <t>694-812-8</t>
  </si>
  <si>
    <t>70648-26-9</t>
  </si>
  <si>
    <t>C12H2Cl6O</t>
  </si>
  <si>
    <t>ClC1=C2C=3C(OC2=C(Cl)C(Cl)=C1Cl)=CC(Cl)=C(Cl)C3</t>
  </si>
  <si>
    <t>8,2164E-6 mg/L</t>
  </si>
  <si>
    <t>2,8538608E-7 Pa</t>
  </si>
  <si>
    <t>36,7245 Pa·m³/mol</t>
  </si>
  <si>
    <t>7,52</t>
  </si>
  <si>
    <t>9,60e+5 L.kg-1</t>
  </si>
  <si>
    <t>435°C</t>
  </si>
  <si>
    <t>1.2.3.7.8.9 Hexachlorodibenzofuranne</t>
  </si>
  <si>
    <t>1.2.3.7.8.9-HxCDF</t>
  </si>
  <si>
    <t>694-765-3</t>
  </si>
  <si>
    <t>72918-21-9</t>
  </si>
  <si>
    <t>ClC1=C2C=3C(OC2=CC(Cl)=C1Cl)=CC(Cl)=C(Cl)C3Cl</t>
  </si>
  <si>
    <t>0,000859 mg/L</t>
  </si>
  <si>
    <t>4,99E-6 Pa</t>
  </si>
  <si>
    <t>0,955 Pa·m³/mol</t>
  </si>
  <si>
    <t>7,00</t>
  </si>
  <si>
    <t>1,01e+6 L.kg-1</t>
  </si>
  <si>
    <t>1.2.3.6.7.8 Hexachlorodibenzofuranne</t>
  </si>
  <si>
    <t>1.2.3.6.7.8-HxCDF</t>
  </si>
  <si>
    <t>694-837-4</t>
  </si>
  <si>
    <t>57117-44-9</t>
  </si>
  <si>
    <t>ClC1=C2C=3C(OC2=CC(Cl)=C1Cl)=C(Cl)C(Cl)=C(Cl)C3</t>
  </si>
  <si>
    <t>H300/ H310/ H330/ H400/ H410</t>
  </si>
  <si>
    <t>0,000515 mg/L</t>
  </si>
  <si>
    <t>2,17E-5 Pa</t>
  </si>
  <si>
    <t>0,505 Pa·m³/mol</t>
  </si>
  <si>
    <t>7,82</t>
  </si>
  <si>
    <t>2,86e+5 L.kg-1</t>
  </si>
  <si>
    <t>5464,7°C</t>
  </si>
  <si>
    <t>2.3.4.6.7.8 Hexachlorodibenzofuranne</t>
  </si>
  <si>
    <t>2.3.4.6.7.8-HxCDF</t>
  </si>
  <si>
    <t>694-831-1</t>
  </si>
  <si>
    <t>60851-34-5</t>
  </si>
  <si>
    <t>ClC1=C2C(C=3C(O2)=C(Cl)C(Cl)=C(Cl)C3)=CC(Cl)=C1Cl</t>
  </si>
  <si>
    <t>0,00156 mg/L</t>
  </si>
  <si>
    <t>7,59E-6 Pa</t>
  </si>
  <si>
    <t>1,78 Pa·m³/mol</t>
  </si>
  <si>
    <t>1.2.3.4.6.7.8 Heptachlorodibenzofuranne</t>
  </si>
  <si>
    <t>1.2.3.4.6.7.8-HpCDF</t>
  </si>
  <si>
    <t>694-815-4</t>
  </si>
  <si>
    <t>67562-39-4</t>
  </si>
  <si>
    <t>C12HCl7O</t>
  </si>
  <si>
    <t>ClC1=C2C=3C(OC2=C(Cl)C(Cl)=C1Cl)=C(Cl)C(Cl)=C(Cl)C3</t>
  </si>
  <si>
    <t>H301/ H319/ H414</t>
  </si>
  <si>
    <t>1,085E-5 mg/L</t>
  </si>
  <si>
    <t>2,24E-6 Pa</t>
  </si>
  <si>
    <t>106,39125 Pa·m³/mol</t>
  </si>
  <si>
    <t>7,92</t>
  </si>
  <si>
    <t xml:space="preserve">1.2.3.4.7.8.9 Heptachlorodibenzofuranne </t>
  </si>
  <si>
    <t>1.2.3.4.7.8.9-HpCDF</t>
  </si>
  <si>
    <t>694-836-9</t>
  </si>
  <si>
    <t>55673-89-7</t>
  </si>
  <si>
    <t>ClC1=C2C=3C(OC2=C(Cl)C(Cl)=C1Cl)=CC(Cl)=C(Cl)C3Cl</t>
  </si>
  <si>
    <t>H300/ H310/ H330/ H400 /H410</t>
  </si>
  <si>
    <t>2,58E-4 mg/L</t>
  </si>
  <si>
    <t>1,486E-8 Pa</t>
  </si>
  <si>
    <t>1 Pa·m³/mol</t>
  </si>
  <si>
    <t>6,90</t>
  </si>
  <si>
    <t>8,07e+5 L.kg-1</t>
  </si>
  <si>
    <t>1.2.3.4.6.7.8.9 Octachlorodibenzofuranne</t>
  </si>
  <si>
    <t>(OCDF)</t>
  </si>
  <si>
    <t>694-806-5</t>
  </si>
  <si>
    <t>39001-02-0</t>
  </si>
  <si>
    <t>C12=C(C(=C(C(=C1Cl)Cl)Cl)Cl)OC3=C2C(=C(C(=C3Cl)Cl)Cl)Cl</t>
  </si>
  <si>
    <t>H300/ H310/ H330/ H400 /H411</t>
  </si>
  <si>
    <t>1,1049274E-06 mg/l to 1,1468274E-06 mg/l</t>
  </si>
  <si>
    <t>5,004825E-10 Pa</t>
  </si>
  <si>
    <t>519,34625 Pa·m³/mol</t>
  </si>
  <si>
    <t>8,60</t>
  </si>
  <si>
    <t>9,24e+5 L.kg-1</t>
  </si>
  <si>
    <t>476°C</t>
  </si>
  <si>
    <t>PCB</t>
  </si>
  <si>
    <t>2,4,4'-Trichlorobiphényle</t>
  </si>
  <si>
    <t>PCB28</t>
  </si>
  <si>
    <t>230-293-2</t>
  </si>
  <si>
    <t>7012-37-5</t>
  </si>
  <si>
    <t>C12H7Cl3</t>
  </si>
  <si>
    <t>C1=CC(=CC=C1C2=C(C=C(C=C2)Cl)Cl)Cl</t>
  </si>
  <si>
    <t>non dioxin-like</t>
  </si>
  <si>
    <t>H373 / H400 / H410</t>
  </si>
  <si>
    <t>0,085 mg/L at 20 °C</t>
  </si>
  <si>
    <t>3,47E-02 Pa at 25°C</t>
  </si>
  <si>
    <t>1,906E+01 at 10°C</t>
  </si>
  <si>
    <t>47700 L.kg-1</t>
  </si>
  <si>
    <t>336 °C</t>
  </si>
  <si>
    <t>Bio monitoring (BIOPRO)
VVM
Programme de recherche BioDiEn 
Bruxelles Environnement
Bio monitoring BMH-Wal
(Etude de sol Wallonie)</t>
  </si>
  <si>
    <t>2,2',5,5'-Tétrachlorobiphényle</t>
  </si>
  <si>
    <t xml:space="preserve">PCB 52 </t>
  </si>
  <si>
    <t>621-615-6</t>
  </si>
  <si>
    <t>35693-99-3</t>
  </si>
  <si>
    <t>C12H6Cl4</t>
  </si>
  <si>
    <t>C1=CC(=C(C=C1Cl)C2=C(C=CC(=C2)Cl)Cl)Cl</t>
  </si>
  <si>
    <t>0,006 mg/L at 25 °C</t>
  </si>
  <si>
    <t>2,53E-03 Pa at 25 °c</t>
  </si>
  <si>
    <t>1,613E+01 at 10°C</t>
  </si>
  <si>
    <t>177828 L.kg-1</t>
  </si>
  <si>
    <t>352 °C</t>
  </si>
  <si>
    <t>2,2',4,5,5'-Pentachlorobiphényle</t>
  </si>
  <si>
    <t>PCB 101</t>
  </si>
  <si>
    <t>621-393-0</t>
  </si>
  <si>
    <t>37680-73-2</t>
  </si>
  <si>
    <t>C12H5Cl5</t>
  </si>
  <si>
    <t>C1=CC(=C(C=C1Cl)C2=CC(=C(C=C2Cl)Cl)Cl)Cl</t>
  </si>
  <si>
    <t>0,00424mg/L at 25 °C</t>
  </si>
  <si>
    <t>0,00109 Pa at 25ºC</t>
  </si>
  <si>
    <t>2,22E+01 at 11°C</t>
  </si>
  <si>
    <t>165958.6907 L.kg-1</t>
  </si>
  <si>
    <t>373 °C</t>
  </si>
  <si>
    <t>2,3',4,4',5-Pentachlorobiphényle</t>
  </si>
  <si>
    <t>PCB 118</t>
  </si>
  <si>
    <t>621-375-2</t>
  </si>
  <si>
    <t>31508-00-6</t>
  </si>
  <si>
    <t>C1=CC(=C(C=C1C2=CC(=C(C=C2Cl)Cl)Cl)Cl)Cl</t>
  </si>
  <si>
    <t>dioxin-like</t>
  </si>
  <si>
    <t>0,00207 mg/L at 25 °C</t>
  </si>
  <si>
    <t>3,54E-04 Pa at 20°C</t>
  </si>
  <si>
    <t>1,281E+01 at 11°C</t>
  </si>
  <si>
    <t>814131 L.kg-1</t>
  </si>
  <si>
    <t>378 °C</t>
  </si>
  <si>
    <t>Bio monitoring (BIOPRO)
VVM
Bruxelles Environnement
Bio monitoring BMH-Wal
(Etude de sol Wallonie)</t>
  </si>
  <si>
    <t>2,2',3,4,4',5'-Hexachlorobiphényle</t>
  </si>
  <si>
    <t>PCB138</t>
  </si>
  <si>
    <t>621-377-3</t>
  </si>
  <si>
    <t>35065-28-2</t>
  </si>
  <si>
    <t>C12H4Cl6</t>
  </si>
  <si>
    <t>C1=CC(=C(C(=C1C2=CC(=C(C=C2Cl)Cl)Cl)Cl)Cl)Cl</t>
  </si>
  <si>
    <t>0,00729 mg/L at 25 °C</t>
  </si>
  <si>
    <t>1,47E-04 Pa at 20°C</t>
  </si>
  <si>
    <t>7,50E+00 at 11°C</t>
  </si>
  <si>
    <t>2726999 L.kg-1</t>
  </si>
  <si>
    <t>398 °C</t>
  </si>
  <si>
    <t>2,2',4,4',5,5'-Hexachlorobiphényle</t>
  </si>
  <si>
    <t>PCB 153</t>
  </si>
  <si>
    <t>621-381-5</t>
  </si>
  <si>
    <t>35065-27-1</t>
  </si>
  <si>
    <t>C1=C(C(=CC(=C1Cl)Cl)Cl)C2=CC(=C(C=C2Cl)Cl)Cl</t>
  </si>
  <si>
    <t>0,00845 mg/L at 25 °C</t>
  </si>
  <si>
    <t>3,63E-04 Pa at20 °c</t>
  </si>
  <si>
    <t>1,352E+01 at 11°C</t>
  </si>
  <si>
    <t>2188066. L.kg-1</t>
  </si>
  <si>
    <t>395 °C</t>
  </si>
  <si>
    <t>2,2',3,4,4',5,5'-Heptachlorobiphényle</t>
  </si>
  <si>
    <t>PCB 180</t>
  </si>
  <si>
    <t>621-378-9</t>
  </si>
  <si>
    <t>35065-29-3</t>
  </si>
  <si>
    <t>C12H3Cl7</t>
  </si>
  <si>
    <t>C1=C(C(=CC(=C1Cl)Cl)Cl)C2=CC(=C(C(=C2Cl)Cl)Cl)Cl</t>
  </si>
  <si>
    <t>0,00385 mg/L at 25 °C</t>
  </si>
  <si>
    <t>3,14E-05 Pa at 20°C</t>
  </si>
  <si>
    <t>2,025E+00 at 11°C</t>
  </si>
  <si>
    <t>4730474 L.kg-1</t>
  </si>
  <si>
    <t>420 °C</t>
  </si>
  <si>
    <t>3,3',4,4'-tetrachloro-1,1'-biphenyl</t>
  </si>
  <si>
    <t>PCB 77</t>
  </si>
  <si>
    <t>634-804-3</t>
  </si>
  <si>
    <t>32598-13-3</t>
  </si>
  <si>
    <t>C1=CC(=C(C=C1C2=CC(=C(C=C2)Cl)Cl)Cl)Cl</t>
  </si>
  <si>
    <t>0,175 mg/L at 25 °C</t>
  </si>
  <si>
    <t>0,0014 Pa at 25°C</t>
  </si>
  <si>
    <t>4,37 Pa m3/mol at 25°C</t>
  </si>
  <si>
    <t>69800. L.kg-1</t>
  </si>
  <si>
    <t>364 °C</t>
  </si>
  <si>
    <t>Bio monitoring (BIOPRO)
VVM
Bruxelles Environnement
(Etude de sol Wallonie)</t>
  </si>
  <si>
    <t xml:space="preserve">
VVM
Bruxelles Environnement
(Etude de sol Wallonie)</t>
  </si>
  <si>
    <t>3,4,4',5-Tétrachlorobiphényle</t>
  </si>
  <si>
    <t>PCB 81</t>
  </si>
  <si>
    <t>690-324-4</t>
  </si>
  <si>
    <t>70362-50-4</t>
  </si>
  <si>
    <t xml:space="preserve">	
C12H6Cl4</t>
  </si>
  <si>
    <t>C1=CC(=CC=C1C2=CC(=C(C(=C2)Cl)Cl)Cl)Cl</t>
  </si>
  <si>
    <t>0,0014 mg/L at 25 °C</t>
  </si>
  <si>
    <t>0,00165 Pa at 25°C</t>
  </si>
  <si>
    <t>5,2 Pa m3/mol at 25°C</t>
  </si>
  <si>
    <t xml:space="preserve">78100 L.kg-1	</t>
  </si>
  <si>
    <t>365 °C</t>
  </si>
  <si>
    <t>2,3,3',4,4'-Pentachlorobiphenyl</t>
  </si>
  <si>
    <t>PCB 105</t>
  </si>
  <si>
    <t>634-808-5</t>
  </si>
  <si>
    <t>32598-14-4</t>
  </si>
  <si>
    <t>C1=CC(=C(C=C1C2=C(C(=C(C=C2)Cl)Cl)Cl)Cl)Cl</t>
  </si>
  <si>
    <t>H302 / H373 / H400 / H410</t>
  </si>
  <si>
    <t>0,00236 mg/L at 25 °C</t>
  </si>
  <si>
    <t>0,00124 Pa at 25°C</t>
  </si>
  <si>
    <t>5,68 Pa m3/mol at 25°C</t>
  </si>
  <si>
    <t>148000. L.kg-1</t>
  </si>
  <si>
    <t>2,3,4,4'5-Pentachlorobiphenyl</t>
  </si>
  <si>
    <t>PCB 114</t>
  </si>
  <si>
    <t>690-296-3</t>
  </si>
  <si>
    <t>74472-37-0</t>
  </si>
  <si>
    <t>C1=CC(=CC=C1C2=CC(=C(C(=C2Cl)Cl)Cl)Cl)Cl</t>
  </si>
  <si>
    <t>0,000732 mg/L at 25 °C</t>
  </si>
  <si>
    <t>0,00136 Pa at 25°C</t>
  </si>
  <si>
    <t>42,560 Pa m3/mol at 25°C</t>
  </si>
  <si>
    <t>6,30 to 6,98</t>
  </si>
  <si>
    <t>130500 L.kg-1</t>
  </si>
  <si>
    <t>2,3',4,4',5'-Pentachlorobiphenyl</t>
  </si>
  <si>
    <t>PCB 123</t>
  </si>
  <si>
    <t>690-284-8</t>
  </si>
  <si>
    <t>65510-44-3</t>
  </si>
  <si>
    <t xml:space="preserve">	
C12H5Cl5</t>
  </si>
  <si>
    <t>C1=CC(=C(C=C1Cl)Cl)C2=CC(=C(C(=C2)Cl)Cl)Cl</t>
  </si>
  <si>
    <t>0,000299 mg/L at 25 °C</t>
  </si>
  <si>
    <t>0,0013 Pa at 25°C</t>
  </si>
  <si>
    <t>8,805 Pa m3/mol at 25°C</t>
  </si>
  <si>
    <t xml:space="preserve">130500 L.kg-1	</t>
  </si>
  <si>
    <t>379 °C</t>
  </si>
  <si>
    <t>1,2,3-trichloro-5-(3,4-dichlorophenyl)benzene</t>
  </si>
  <si>
    <t>PCB 126</t>
  </si>
  <si>
    <t>682-346-8</t>
  </si>
  <si>
    <t>57465-28-8</t>
  </si>
  <si>
    <t>C1=CC(=C(C=C1C2=CC(=C(C(=C2)Cl)Cl)Cl)Cl)Cl</t>
  </si>
  <si>
    <t>0,000305 mg/L at 25 °C</t>
  </si>
  <si>
    <t>3,05E-04 Pa at 25°C</t>
  </si>
  <si>
    <t>2,776 Pa m3/mol at 25°C</t>
  </si>
  <si>
    <t>157000. L.kg-1</t>
  </si>
  <si>
    <t>2,3,3',4,4',5-Hexachlorobiphényle</t>
  </si>
  <si>
    <t>PCB 156</t>
  </si>
  <si>
    <t>620-601-7</t>
  </si>
  <si>
    <t>38380-08-4</t>
  </si>
  <si>
    <t xml:space="preserve">	
C12H4Cl6</t>
  </si>
  <si>
    <t>C1=CC(=C(C=C1C2=CC(=C(C(=C2Cl)Cl)Cl)Cl)Cl)Cl</t>
  </si>
  <si>
    <t>0,000513 mg/L at 25 °C</t>
  </si>
  <si>
    <t>0,000215 Pa at 25°C</t>
  </si>
  <si>
    <t>88,14 Pa m3/mol at 25°C</t>
  </si>
  <si>
    <t>417000 L.kg-1</t>
  </si>
  <si>
    <t>397 °C</t>
  </si>
  <si>
    <t>2,3,3',4,4',5'-Hexachlorobiphényle</t>
  </si>
  <si>
    <t>PCB 157</t>
  </si>
  <si>
    <t>690-279-0</t>
  </si>
  <si>
    <t>69782-90-7</t>
  </si>
  <si>
    <t>C1=CC(=C(C(=C1C2=CC(=C(C(=C2)Cl)Cl)Cl)Cl)Cl)Cl</t>
  </si>
  <si>
    <t>0,000084 mg/L at 25 °C</t>
  </si>
  <si>
    <t>0,00809 Pa at 25°C</t>
  </si>
  <si>
    <t>3,30 Pa m3/mol at 25°C</t>
  </si>
  <si>
    <t>213600 L.kg-1</t>
  </si>
  <si>
    <t>396 °C</t>
  </si>
  <si>
    <t>1,2,3-trichloro-5-(2,4,5-trichlorophenyl)benzene</t>
  </si>
  <si>
    <t>PCB 167</t>
  </si>
  <si>
    <t>690-199-6</t>
  </si>
  <si>
    <t>52663-72-6</t>
  </si>
  <si>
    <t>C1=C(C=C(C(=C1Cl)Cl)Cl)C2=CC(=C(C=C2Cl)Cl)Cl</t>
  </si>
  <si>
    <t>0,000442 mg/L at 5 °C</t>
  </si>
  <si>
    <t>0,00212 Pa at 25°C</t>
  </si>
  <si>
    <t>4,47 Pa m3/mol at 25°C</t>
  </si>
  <si>
    <t xml:space="preserve">209300 L.kg-1	</t>
  </si>
  <si>
    <t>391 °C</t>
  </si>
  <si>
    <t>3,4,5,3',4',5'-Hexachlorobiphenyl</t>
  </si>
  <si>
    <t>PCB 169</t>
  </si>
  <si>
    <t>682-345-2</t>
  </si>
  <si>
    <t>32774-16-6</t>
  </si>
  <si>
    <t>C1=C(C=C(C(=C1Cl)Cl)Cl)C2=CC(=C(C(=C2)Cl)Cl)Cl</t>
  </si>
  <si>
    <t>0,000053 mg/L at 5 °C</t>
  </si>
  <si>
    <t>0,00000108 Pa at 25°C</t>
  </si>
  <si>
    <t>0,85 Pa  m3/mol at 25°C</t>
  </si>
  <si>
    <t>209300 L.kg-1</t>
  </si>
  <si>
    <t>VVM
(Etude de sol Wallonie)</t>
  </si>
  <si>
    <t>1,2,3,4-tetrachloro-5-(3,4,5-trichlorophenyl)benzene</t>
  </si>
  <si>
    <t>PCB 189</t>
  </si>
  <si>
    <t>690-157-7</t>
  </si>
  <si>
    <t>39635-31-9</t>
  </si>
  <si>
    <t>C1=C(C=C(C(=C1Cl)Cl)Cl)C2=CC(=C(C(=C2Cl)Cl)Cl)Cl</t>
  </si>
  <si>
    <t>0,000029 mg/L at 5 °C</t>
  </si>
  <si>
    <t>0,00144 Pa at 25°C</t>
  </si>
  <si>
    <t>0,903 Pa  m3/mol at 25°C</t>
  </si>
  <si>
    <t xml:space="preserve">349700 L.kg-1	</t>
  </si>
  <si>
    <t xml:space="preserve">423 °C </t>
  </si>
  <si>
    <t>PCN</t>
  </si>
  <si>
    <t>1-chloronaphthalene</t>
  </si>
  <si>
    <t>monochloronaphtalène</t>
  </si>
  <si>
    <t>247-120-1</t>
  </si>
  <si>
    <t>25586-43-0</t>
  </si>
  <si>
    <t xml:space="preserve">	
C10H7Cl</t>
  </si>
  <si>
    <t>C1=CC=C2C(=C1)C=CC=C2Cl</t>
  </si>
  <si>
    <t>Mono</t>
  </si>
  <si>
    <t>H315 /  H319 /  H335</t>
  </si>
  <si>
    <t>1620 L/kg</t>
  </si>
  <si>
    <t>328 °C</t>
  </si>
  <si>
    <t>BXL envi
(Etude de sol Wallonie)</t>
  </si>
  <si>
    <t>1,3-DICHLORONAPHTHALENE</t>
  </si>
  <si>
    <t>dichloronaphtalène</t>
  </si>
  <si>
    <t>218-603-4</t>
  </si>
  <si>
    <t>28699-88-9</t>
  </si>
  <si>
    <t>C10H6Cl2</t>
  </si>
  <si>
    <t>C1=CC=C2C(=C1)C=C(C=C2Cl)Cl</t>
  </si>
  <si>
    <t>Di</t>
  </si>
  <si>
    <t>(Etude de sol Wallonie)</t>
  </si>
  <si>
    <t>1,2,3-Trichloronaphthalene</t>
  </si>
  <si>
    <t>trichloronaphtalène</t>
  </si>
  <si>
    <t>215-321-3</t>
  </si>
  <si>
    <t>1321-65-9</t>
  </si>
  <si>
    <t>C10H5Cl3</t>
  </si>
  <si>
    <t>C1=CC=C2C(=C1)C=C(C(=C2Cl)Cl)Cl</t>
  </si>
  <si>
    <t>Tri</t>
  </si>
  <si>
    <t>0.017-0.064</t>
  </si>
  <si>
    <t xml:space="preserve">&lt; 133,322 </t>
  </si>
  <si>
    <t>5,12-5,35</t>
  </si>
  <si>
    <t>7940 L/kg</t>
  </si>
  <si>
    <t>304-354 °C</t>
  </si>
  <si>
    <t>1,2,3,4-TETRACHLORONAPHTHALENE</t>
  </si>
  <si>
    <t>tetrachloronaphtalène</t>
  </si>
  <si>
    <t>215-642-9</t>
  </si>
  <si>
    <t>1335-88-2</t>
  </si>
  <si>
    <t xml:space="preserve">	
C10H4Cl4</t>
  </si>
  <si>
    <t>C1=CC=C2C(=C1)C(=C(C(=C2Cl)Cl)Cl)Cl</t>
  </si>
  <si>
    <t>Tetra</t>
  </si>
  <si>
    <t>64600 L/kg</t>
  </si>
  <si>
    <t>311,5 to 360 °C</t>
  </si>
  <si>
    <t>1,2,4,5,7-Pentachloronaphthalene</t>
  </si>
  <si>
    <t>Pentachloronaphtalène</t>
  </si>
  <si>
    <t>215-320-8</t>
  </si>
  <si>
    <t>1321-64-8</t>
  </si>
  <si>
    <t>C10H3Cl5</t>
  </si>
  <si>
    <t>C1=C(C=C(C2=C1C(=C(C=C2Cl)Cl)Cl)Cl)Cl</t>
  </si>
  <si>
    <t>Penta</t>
  </si>
  <si>
    <t>8,73/9,13</t>
  </si>
  <si>
    <t>135000 L/kg</t>
  </si>
  <si>
    <t>327-371 °C</t>
  </si>
  <si>
    <t>1,2,3,4,5,6-Hexachloronaphthalene</t>
  </si>
  <si>
    <t>Hexachloronaphtalène</t>
  </si>
  <si>
    <t>215-641-3</t>
  </si>
  <si>
    <t>1335-87-1</t>
  </si>
  <si>
    <t xml:space="preserve">	
C10H2Cl6</t>
  </si>
  <si>
    <t>C1=CC(=C(C2=C1C(=C(C(=C2Cl)Cl)Cl)Cl)Cl)Cl</t>
  </si>
  <si>
    <t>Hexa</t>
  </si>
  <si>
    <t>&lt; 133,322</t>
  </si>
  <si>
    <t>479000 L/kg</t>
  </si>
  <si>
    <t>344-388 °C</t>
  </si>
  <si>
    <t>1,2,3,4,5,6,7-Heptachloronaphthalene</t>
  </si>
  <si>
    <t>Heptachloronaphtalène</t>
  </si>
  <si>
    <t>250-969-0</t>
  </si>
  <si>
    <t>32241-08-0</t>
  </si>
  <si>
    <t xml:space="preserve">	
C10HCl7</t>
  </si>
  <si>
    <t>C1=C2C(=C(C(=C1Cl)Cl)Cl)C(=C(C(=C2Cl)Cl)Cl)Cl</t>
  </si>
  <si>
    <t>Hepta</t>
  </si>
  <si>
    <t>1050000 L/kg</t>
  </si>
  <si>
    <t>389 °C</t>
  </si>
  <si>
    <t>OCTACHLORONAPHTHALENE</t>
  </si>
  <si>
    <t>Octachloronaphtalène</t>
  </si>
  <si>
    <t>218-778-7</t>
  </si>
  <si>
    <t>2234-13-1</t>
  </si>
  <si>
    <t>C10Cl8</t>
  </si>
  <si>
    <t>C12=C(C(=C(C(=C1Cl)Cl)Cl)Cl)C(=C(C(=C2Cl)Cl)Cl)Cl</t>
  </si>
  <si>
    <t>Octa</t>
  </si>
  <si>
    <t>776000 L/kg</t>
  </si>
  <si>
    <t>440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</si>
</sst>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34" x14ac:knownFonts="1">
    <font>
      <sz val="11"/>
      <color theme="1"/>
      <name val="Calibri"/>
      <family val="2"/>
      <scheme val="minor"/>
    </font>
    <font>
      <sz val="11"/>
      <color theme="1"/>
      <name val="Calibri"/>
      <family val="2"/>
      <scheme val="minor"/>
    </font>
    <font>
      <b/>
      <sz val="12"/>
      <color theme="0"/>
      <name val="Calibri"/>
      <family val="2"/>
      <scheme val="minor"/>
    </font>
    <font>
      <sz val="10"/>
      <name val="Arial"/>
      <family val="2"/>
    </font>
    <font>
      <b/>
      <sz val="10"/>
      <name val="Arial"/>
      <family val="2"/>
    </font>
    <font>
      <b/>
      <sz val="12"/>
      <name val="Calibri"/>
      <family val="2"/>
      <scheme val="minor"/>
    </font>
    <font>
      <b/>
      <sz val="12"/>
      <color rgb="FFFF0000"/>
      <name val="Calibri"/>
      <family val="2"/>
      <scheme val="minor"/>
    </font>
    <font>
      <b/>
      <sz val="28"/>
      <color theme="1"/>
      <name val="Calibri"/>
      <family val="2"/>
      <scheme val="minor"/>
    </font>
    <font>
      <b/>
      <sz val="12"/>
      <color theme="1"/>
      <name val="Calibri"/>
      <family val="2"/>
      <scheme val="minor"/>
    </font>
    <font>
      <sz val="12"/>
      <color theme="1"/>
      <name val="Calibri"/>
      <family val="2"/>
      <scheme val="minor"/>
    </font>
    <font>
      <b/>
      <sz val="12"/>
      <name val="Arial"/>
      <family val="2"/>
    </font>
    <font>
      <sz val="12"/>
      <name val="Arial"/>
      <family val="2"/>
    </font>
    <font>
      <sz val="11"/>
      <name val="Calibri"/>
      <family val="2"/>
      <scheme val="minor"/>
    </font>
    <font>
      <b/>
      <sz val="20"/>
      <color theme="1"/>
      <name val="Calibri"/>
      <family val="2"/>
      <scheme val="minor"/>
    </font>
    <font>
      <sz val="11"/>
      <color rgb="FFFF0000"/>
      <name val="Calibri"/>
      <family val="2"/>
      <scheme val="minor"/>
    </font>
    <font>
      <u/>
      <sz val="11"/>
      <color theme="10"/>
      <name val="Calibri"/>
      <family val="2"/>
      <scheme val="minor"/>
    </font>
    <font>
      <sz val="12"/>
      <name val="Calibri"/>
      <family val="2"/>
      <scheme val="minor"/>
    </font>
    <font>
      <b/>
      <sz val="26"/>
      <color theme="1"/>
      <name val="Calibri"/>
      <family val="2"/>
      <scheme val="minor"/>
    </font>
    <font>
      <b/>
      <sz val="18"/>
      <color theme="1"/>
      <name val="Calibri"/>
      <family val="2"/>
      <scheme val="minor"/>
    </font>
    <font>
      <sz val="18"/>
      <color theme="1"/>
      <name val="Calibri"/>
      <family val="2"/>
      <scheme val="minor"/>
    </font>
    <font>
      <sz val="18"/>
      <name val="Calibri"/>
      <family val="2"/>
      <scheme val="minor"/>
    </font>
    <font>
      <b/>
      <sz val="20"/>
      <name val="Calibri"/>
      <family val="2"/>
      <scheme val="minor"/>
    </font>
    <font>
      <sz val="9"/>
      <color indexed="81"/>
      <name val="Tahoma"/>
      <family val="2"/>
    </font>
    <font>
      <b/>
      <sz val="9"/>
      <color indexed="81"/>
      <name val="Tahoma"/>
      <family val="2"/>
    </font>
    <font>
      <b/>
      <sz val="18"/>
      <name val="Calibri"/>
      <family val="2"/>
      <scheme val="minor"/>
    </font>
    <font>
      <b/>
      <sz val="10"/>
      <color theme="1"/>
      <name val="Arial"/>
      <family val="2"/>
    </font>
    <font>
      <sz val="10"/>
      <color theme="1"/>
      <name val="Arial"/>
      <family val="2"/>
    </font>
    <font>
      <b/>
      <sz val="12"/>
      <color theme="1"/>
      <name val="Arial"/>
      <family val="2"/>
    </font>
    <font>
      <sz val="12"/>
      <color theme="1"/>
      <name val="Arial"/>
      <family val="2"/>
    </font>
    <font>
      <sz val="11"/>
      <color theme="1"/>
      <name val="Arial"/>
      <family val="2"/>
    </font>
    <font>
      <b/>
      <sz val="16"/>
      <color theme="1"/>
      <name val="Calibri"/>
      <family val="2"/>
      <scheme val="minor"/>
    </font>
    <font>
      <b/>
      <sz val="24"/>
      <name val="Calibri"/>
      <family val="2"/>
      <scheme val="minor"/>
    </font>
    <font>
      <b/>
      <sz val="22"/>
      <name val="Calibri"/>
      <family val="2"/>
      <scheme val="minor"/>
    </font>
    <font>
      <sz val="36"/>
      <color theme="1"/>
      <name val="Calibri"/>
      <family val="2"/>
      <scheme val="minor"/>
    </font>
  </fonts>
  <fills count="22">
    <fill>
      <patternFill patternType="none"/>
    </fill>
    <fill>
      <patternFill patternType="gray125"/>
    </fill>
    <fill>
      <patternFill patternType="solid">
        <fgColor theme="7"/>
        <bgColor indexed="64"/>
      </patternFill>
    </fill>
    <fill>
      <patternFill patternType="solid">
        <fgColor theme="7"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66CC"/>
        <bgColor indexed="64"/>
      </patternFill>
    </fill>
    <fill>
      <patternFill patternType="solid">
        <fgColor rgb="FFF4B084"/>
        <bgColor indexed="64"/>
      </patternFill>
    </fill>
    <fill>
      <patternFill patternType="solid">
        <fgColor theme="6" tint="0.59999389629810485"/>
        <bgColor indexed="64"/>
      </patternFill>
    </fill>
    <fill>
      <patternFill patternType="solid">
        <fgColor rgb="FFFFFF00"/>
        <bgColor indexed="64"/>
      </patternFill>
    </fill>
    <fill>
      <patternFill patternType="solid">
        <fgColor theme="7" tint="0.39997558519241921"/>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FFF99"/>
        <bgColor indexed="64"/>
      </patternFill>
    </fill>
    <fill>
      <patternFill patternType="solid">
        <fgColor theme="4" tint="0.39997558519241921"/>
        <bgColor indexed="64"/>
      </patternFill>
    </fill>
    <fill>
      <patternFill patternType="solid">
        <fgColor theme="1" tint="0.499984740745262"/>
        <bgColor indexed="64"/>
      </patternFill>
    </fill>
  </fills>
  <borders count="52">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0" fontId="1" fillId="0" borderId="0"/>
    <xf numFmtId="0" fontId="15" fillId="0" borderId="0" applyNumberFormat="0" applyFill="0" applyBorder="0" applyAlignment="0" applyProtection="0"/>
    <xf numFmtId="0" fontId="1" fillId="0" borderId="0"/>
  </cellStyleXfs>
  <cellXfs count="284">
    <xf numFmtId="0" fontId="0" fillId="0" borderId="0" xfId="0"/>
    <xf numFmtId="0" fontId="0" fillId="0" borderId="0" xfId="0" applyAlignment="1">
      <alignment wrapText="1"/>
    </xf>
    <xf numFmtId="0" fontId="0" fillId="0" borderId="1" xfId="0" applyBorder="1"/>
    <xf numFmtId="0" fontId="0" fillId="0" borderId="3" xfId="0" applyBorder="1"/>
    <xf numFmtId="0" fontId="0" fillId="0" borderId="0" xfId="0" applyAlignment="1">
      <alignment horizontal="left"/>
    </xf>
    <xf numFmtId="0" fontId="0" fillId="0" borderId="2" xfId="0" applyBorder="1"/>
    <xf numFmtId="0" fontId="0" fillId="0" borderId="4" xfId="0" applyBorder="1"/>
    <xf numFmtId="0" fontId="0" fillId="0" borderId="2" xfId="0" applyBorder="1" applyAlignment="1">
      <alignment wrapText="1"/>
    </xf>
    <xf numFmtId="0" fontId="0" fillId="0" borderId="0" xfId="0" applyAlignment="1">
      <alignment vertical="top" wrapText="1"/>
    </xf>
    <xf numFmtId="0" fontId="2" fillId="0" borderId="0" xfId="0" applyFont="1" applyAlignment="1">
      <alignment horizontal="center" vertical="center" wrapText="1"/>
    </xf>
    <xf numFmtId="0" fontId="0" fillId="0" borderId="0" xfId="0" applyAlignment="1">
      <alignment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7" fillId="0" borderId="0" xfId="0" applyFont="1"/>
    <xf numFmtId="0" fontId="9" fillId="0" borderId="0" xfId="0" applyFont="1"/>
    <xf numFmtId="0" fontId="11" fillId="0" borderId="2" xfId="0" applyFont="1" applyBorder="1" applyAlignment="1">
      <alignment horizontal="center" vertical="center" wrapText="1"/>
    </xf>
    <xf numFmtId="0" fontId="11" fillId="0" borderId="13" xfId="0" applyFont="1" applyBorder="1" applyAlignment="1">
      <alignment horizontal="center" vertical="center" wrapText="1"/>
    </xf>
    <xf numFmtId="0" fontId="5" fillId="4" borderId="26" xfId="0" applyFont="1" applyFill="1" applyBorder="1" applyAlignment="1">
      <alignment horizontal="center" vertical="center" wrapText="1"/>
    </xf>
    <xf numFmtId="0" fontId="5" fillId="0" borderId="0" xfId="0" applyFont="1" applyAlignment="1">
      <alignment horizontal="center" vertical="center" wrapText="1"/>
    </xf>
    <xf numFmtId="0" fontId="0" fillId="0" borderId="2" xfId="0" applyBorder="1" applyAlignment="1">
      <alignment vertical="center"/>
    </xf>
    <xf numFmtId="0" fontId="3" fillId="0" borderId="0" xfId="0" applyFont="1" applyAlignment="1">
      <alignment wrapText="1"/>
    </xf>
    <xf numFmtId="0" fontId="3" fillId="0" borderId="0" xfId="0" applyFont="1" applyAlignment="1">
      <alignment horizontal="center" wrapText="1"/>
    </xf>
    <xf numFmtId="0" fontId="14" fillId="0" borderId="0" xfId="0" applyFont="1"/>
    <xf numFmtId="11" fontId="3" fillId="0" borderId="0" xfId="0" applyNumberFormat="1" applyFont="1" applyAlignment="1">
      <alignment horizontal="center" wrapText="1"/>
    </xf>
    <xf numFmtId="0" fontId="11" fillId="0" borderId="33" xfId="0" applyFont="1" applyBorder="1" applyAlignment="1">
      <alignment horizontal="center" vertical="center" wrapText="1"/>
    </xf>
    <xf numFmtId="0" fontId="11" fillId="0" borderId="8" xfId="0" applyFont="1" applyBorder="1" applyAlignment="1">
      <alignment horizontal="center" vertical="center" wrapText="1"/>
    </xf>
    <xf numFmtId="0" fontId="12" fillId="0" borderId="0" xfId="0" applyFont="1" applyAlignment="1">
      <alignment wrapText="1"/>
    </xf>
    <xf numFmtId="0" fontId="12" fillId="0" borderId="0" xfId="0" applyFont="1"/>
    <xf numFmtId="2" fontId="3" fillId="0" borderId="0" xfId="0" applyNumberFormat="1" applyFont="1" applyAlignment="1">
      <alignment horizontal="center" wrapText="1"/>
    </xf>
    <xf numFmtId="0" fontId="12" fillId="0" borderId="2" xfId="0" applyFont="1" applyBorder="1" applyAlignment="1">
      <alignment horizontal="center"/>
    </xf>
    <xf numFmtId="1" fontId="9" fillId="0" borderId="2" xfId="0" applyNumberFormat="1"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center"/>
    </xf>
    <xf numFmtId="1" fontId="16" fillId="0" borderId="18" xfId="0" applyNumberFormat="1" applyFont="1" applyBorder="1" applyAlignment="1">
      <alignment horizontal="center" vertical="center"/>
    </xf>
    <xf numFmtId="1" fontId="16" fillId="0" borderId="8" xfId="0" applyNumberFormat="1" applyFont="1" applyBorder="1" applyAlignment="1">
      <alignment horizontal="center" vertical="center"/>
    </xf>
    <xf numFmtId="0" fontId="12" fillId="0" borderId="0" xfId="0" applyFont="1" applyAlignment="1">
      <alignment horizontal="center"/>
    </xf>
    <xf numFmtId="1" fontId="16" fillId="0" borderId="10" xfId="0" applyNumberFormat="1" applyFont="1" applyBorder="1" applyAlignment="1">
      <alignment horizontal="center" vertical="center"/>
    </xf>
    <xf numFmtId="1" fontId="16" fillId="0" borderId="2" xfId="0" applyNumberFormat="1" applyFont="1" applyBorder="1" applyAlignment="1">
      <alignment horizontal="center" vertical="center"/>
    </xf>
    <xf numFmtId="1" fontId="16" fillId="0" borderId="32" xfId="0" applyNumberFormat="1" applyFont="1" applyBorder="1" applyAlignment="1">
      <alignment horizontal="center" vertical="center"/>
    </xf>
    <xf numFmtId="1" fontId="16" fillId="0" borderId="33" xfId="0" applyNumberFormat="1" applyFont="1" applyBorder="1" applyAlignment="1">
      <alignment horizontal="center" vertical="center"/>
    </xf>
    <xf numFmtId="1" fontId="16" fillId="0" borderId="12" xfId="0" applyNumberFormat="1" applyFont="1" applyBorder="1" applyAlignment="1">
      <alignment horizontal="center" vertical="center"/>
    </xf>
    <xf numFmtId="1" fontId="16" fillId="0" borderId="13" xfId="0" applyNumberFormat="1" applyFont="1" applyBorder="1" applyAlignment="1">
      <alignment horizontal="center" vertical="center"/>
    </xf>
    <xf numFmtId="0" fontId="0" fillId="5" borderId="2" xfId="0" applyFill="1" applyBorder="1" applyAlignment="1">
      <alignment horizontal="center"/>
    </xf>
    <xf numFmtId="0" fontId="12" fillId="5" borderId="9" xfId="0" applyFont="1" applyFill="1" applyBorder="1" applyAlignment="1">
      <alignment horizontal="center"/>
    </xf>
    <xf numFmtId="0" fontId="12" fillId="5" borderId="11" xfId="0" applyFont="1" applyFill="1" applyBorder="1" applyAlignment="1">
      <alignment horizontal="center"/>
    </xf>
    <xf numFmtId="0" fontId="3" fillId="0" borderId="7" xfId="0" applyFont="1" applyBorder="1" applyAlignment="1">
      <alignment horizontal="center" vertical="center" wrapText="1"/>
    </xf>
    <xf numFmtId="0" fontId="3" fillId="0" borderId="7" xfId="0" applyFont="1" applyBorder="1" applyAlignment="1">
      <alignment wrapText="1"/>
    </xf>
    <xf numFmtId="0" fontId="3" fillId="0" borderId="7" xfId="0" applyFont="1" applyBorder="1" applyAlignment="1">
      <alignment horizontal="center" wrapText="1"/>
    </xf>
    <xf numFmtId="0" fontId="12" fillId="0" borderId="7" xfId="0" applyFont="1" applyBorder="1" applyAlignment="1">
      <alignment wrapText="1"/>
    </xf>
    <xf numFmtId="0" fontId="12" fillId="0" borderId="7" xfId="0" applyFont="1" applyBorder="1" applyAlignment="1">
      <alignment horizontal="center"/>
    </xf>
    <xf numFmtId="0" fontId="3" fillId="0" borderId="37" xfId="0" applyFont="1" applyBorder="1" applyAlignment="1">
      <alignment horizontal="center" vertical="center" wrapText="1"/>
    </xf>
    <xf numFmtId="0" fontId="3" fillId="0" borderId="37" xfId="0" applyFont="1" applyBorder="1" applyAlignment="1">
      <alignment wrapText="1"/>
    </xf>
    <xf numFmtId="0" fontId="3" fillId="0" borderId="37" xfId="0" applyFont="1" applyBorder="1" applyAlignment="1">
      <alignment horizontal="center" wrapText="1"/>
    </xf>
    <xf numFmtId="0" fontId="12" fillId="0" borderId="37" xfId="0" applyFont="1" applyBorder="1" applyAlignment="1">
      <alignment wrapText="1"/>
    </xf>
    <xf numFmtId="0" fontId="12" fillId="0" borderId="37" xfId="0" applyFont="1" applyBorder="1" applyAlignment="1">
      <alignment horizontal="center"/>
    </xf>
    <xf numFmtId="0" fontId="5" fillId="8" borderId="27" xfId="0" applyFont="1" applyFill="1" applyBorder="1" applyAlignment="1">
      <alignment horizontal="center" vertical="center" wrapText="1"/>
    </xf>
    <xf numFmtId="1" fontId="16" fillId="3" borderId="38" xfId="0" applyNumberFormat="1" applyFont="1" applyFill="1" applyBorder="1" applyAlignment="1">
      <alignment horizontal="center" vertical="center"/>
    </xf>
    <xf numFmtId="1" fontId="16" fillId="3" borderId="29" xfId="0" applyNumberFormat="1" applyFont="1" applyFill="1" applyBorder="1" applyAlignment="1">
      <alignment horizontal="center" vertical="center"/>
    </xf>
    <xf numFmtId="1" fontId="16" fillId="3" borderId="30" xfId="0" applyNumberFormat="1" applyFont="1" applyFill="1" applyBorder="1" applyAlignment="1">
      <alignment horizontal="center" vertical="center"/>
    </xf>
    <xf numFmtId="1" fontId="16" fillId="3" borderId="39" xfId="0" applyNumberFormat="1" applyFont="1" applyFill="1" applyBorder="1" applyAlignment="1">
      <alignment horizontal="center" vertical="center"/>
    </xf>
    <xf numFmtId="0" fontId="13" fillId="13" borderId="2" xfId="0" applyFont="1" applyFill="1" applyBorder="1" applyAlignment="1">
      <alignment vertical="center"/>
    </xf>
    <xf numFmtId="0" fontId="11" fillId="3" borderId="2" xfId="0" applyFont="1" applyFill="1" applyBorder="1" applyAlignment="1">
      <alignment horizontal="center" vertical="center" wrapText="1"/>
    </xf>
    <xf numFmtId="0" fontId="20" fillId="3" borderId="8" xfId="0" applyFont="1" applyFill="1" applyBorder="1" applyAlignment="1">
      <alignment horizontal="center" vertical="center"/>
    </xf>
    <xf numFmtId="0" fontId="20" fillId="3" borderId="9" xfId="0" applyFont="1" applyFill="1" applyBorder="1" applyAlignment="1">
      <alignment horizontal="center" vertical="center"/>
    </xf>
    <xf numFmtId="0" fontId="20" fillId="3" borderId="2" xfId="0" applyFont="1" applyFill="1" applyBorder="1" applyAlignment="1">
      <alignment horizontal="center" vertical="center"/>
    </xf>
    <xf numFmtId="0" fontId="20" fillId="3" borderId="11" xfId="0" applyFont="1" applyFill="1" applyBorder="1" applyAlignment="1">
      <alignment horizontal="center" vertical="center"/>
    </xf>
    <xf numFmtId="0" fontId="20" fillId="3" borderId="13" xfId="0" applyFont="1" applyFill="1" applyBorder="1" applyAlignment="1">
      <alignment horizontal="center" vertical="center"/>
    </xf>
    <xf numFmtId="0" fontId="20" fillId="3" borderId="14" xfId="0" applyFont="1" applyFill="1" applyBorder="1" applyAlignment="1">
      <alignment horizontal="center" vertical="center"/>
    </xf>
    <xf numFmtId="0" fontId="20" fillId="11" borderId="2" xfId="0" applyFont="1" applyFill="1" applyBorder="1" applyAlignment="1">
      <alignment horizontal="center"/>
    </xf>
    <xf numFmtId="0" fontId="20" fillId="11" borderId="2" xfId="0" applyFont="1" applyFill="1" applyBorder="1" applyAlignment="1">
      <alignment horizontal="center" vertical="center"/>
    </xf>
    <xf numFmtId="0" fontId="12" fillId="0" borderId="0" xfId="0" applyFont="1" applyAlignment="1">
      <alignment vertical="center"/>
    </xf>
    <xf numFmtId="0" fontId="21" fillId="13" borderId="2" xfId="0" applyFont="1" applyFill="1" applyBorder="1" applyAlignment="1">
      <alignment vertical="center"/>
    </xf>
    <xf numFmtId="0" fontId="12" fillId="0" borderId="2" xfId="0" applyFont="1" applyBorder="1" applyAlignment="1">
      <alignment vertical="center"/>
    </xf>
    <xf numFmtId="0" fontId="12" fillId="0" borderId="2" xfId="0" applyFont="1" applyBorder="1"/>
    <xf numFmtId="0" fontId="12" fillId="10" borderId="10" xfId="0" applyFont="1" applyFill="1" applyBorder="1" applyAlignment="1">
      <alignment wrapText="1"/>
    </xf>
    <xf numFmtId="0" fontId="12" fillId="10" borderId="12" xfId="0" applyFont="1" applyFill="1" applyBorder="1" applyAlignment="1">
      <alignment wrapText="1"/>
    </xf>
    <xf numFmtId="0" fontId="12" fillId="10" borderId="18" xfId="0" applyFont="1" applyFill="1" applyBorder="1" applyAlignment="1">
      <alignment wrapText="1"/>
    </xf>
    <xf numFmtId="0" fontId="12" fillId="0" borderId="20" xfId="0" applyFont="1" applyBorder="1" applyAlignment="1">
      <alignment horizontal="center"/>
    </xf>
    <xf numFmtId="0" fontId="12" fillId="0" borderId="41" xfId="0" applyFont="1" applyBorder="1" applyAlignment="1">
      <alignment horizontal="center"/>
    </xf>
    <xf numFmtId="0" fontId="12" fillId="0" borderId="42" xfId="0" applyFont="1" applyBorder="1" applyAlignment="1">
      <alignment horizontal="center"/>
    </xf>
    <xf numFmtId="0" fontId="5" fillId="0" borderId="32" xfId="0" applyFont="1" applyBorder="1" applyAlignment="1">
      <alignment horizontal="center" vertical="center" wrapText="1"/>
    </xf>
    <xf numFmtId="1" fontId="20" fillId="3" borderId="2" xfId="0" applyNumberFormat="1" applyFont="1" applyFill="1" applyBorder="1" applyAlignment="1">
      <alignment horizontal="center" vertical="center"/>
    </xf>
    <xf numFmtId="0" fontId="12" fillId="0" borderId="22" xfId="0" applyFont="1" applyBorder="1" applyAlignment="1">
      <alignment horizontal="center"/>
    </xf>
    <xf numFmtId="0" fontId="12" fillId="0" borderId="45" xfId="0" applyFont="1" applyBorder="1" applyAlignment="1">
      <alignment horizontal="center"/>
    </xf>
    <xf numFmtId="0" fontId="12" fillId="0" borderId="40" xfId="0" applyFont="1" applyBorder="1" applyAlignment="1">
      <alignment horizontal="center"/>
    </xf>
    <xf numFmtId="0" fontId="5" fillId="0" borderId="35" xfId="0" applyFont="1" applyBorder="1" applyAlignment="1">
      <alignment horizontal="center" vertical="center" wrapText="1"/>
    </xf>
    <xf numFmtId="0" fontId="19" fillId="0" borderId="0" xfId="0" applyFont="1" applyAlignment="1">
      <alignment horizontal="center" wrapText="1"/>
    </xf>
    <xf numFmtId="0" fontId="20" fillId="3" borderId="4" xfId="0" applyFont="1" applyFill="1" applyBorder="1" applyAlignment="1">
      <alignment horizontal="center" wrapText="1"/>
    </xf>
    <xf numFmtId="0" fontId="20" fillId="3" borderId="11" xfId="0" applyFont="1" applyFill="1" applyBorder="1"/>
    <xf numFmtId="0" fontId="20" fillId="3" borderId="14" xfId="0" applyFont="1" applyFill="1" applyBorder="1"/>
    <xf numFmtId="0" fontId="20" fillId="3" borderId="19" xfId="0" applyFont="1" applyFill="1" applyBorder="1" applyAlignment="1">
      <alignment horizontal="center" wrapText="1"/>
    </xf>
    <xf numFmtId="0" fontId="20" fillId="3" borderId="9" xfId="0" applyFont="1" applyFill="1" applyBorder="1"/>
    <xf numFmtId="0" fontId="20" fillId="3" borderId="46" xfId="0" applyFont="1" applyFill="1" applyBorder="1" applyAlignment="1">
      <alignment horizontal="center" wrapText="1"/>
    </xf>
    <xf numFmtId="0" fontId="20" fillId="3" borderId="47" xfId="0" applyFont="1" applyFill="1" applyBorder="1" applyAlignment="1">
      <alignment horizontal="center" wrapText="1"/>
    </xf>
    <xf numFmtId="0" fontId="20" fillId="3" borderId="34" xfId="0" applyFont="1" applyFill="1" applyBorder="1"/>
    <xf numFmtId="0" fontId="7" fillId="11" borderId="47" xfId="0" applyFont="1" applyFill="1" applyBorder="1"/>
    <xf numFmtId="0" fontId="9" fillId="4" borderId="7" xfId="0" applyFont="1" applyFill="1" applyBorder="1"/>
    <xf numFmtId="0" fontId="9" fillId="4" borderId="19" xfId="0" applyFont="1" applyFill="1" applyBorder="1"/>
    <xf numFmtId="0" fontId="18" fillId="2" borderId="16" xfId="0" applyFont="1" applyFill="1" applyBorder="1"/>
    <xf numFmtId="0" fontId="19" fillId="4" borderId="19" xfId="0" applyFont="1" applyFill="1" applyBorder="1"/>
    <xf numFmtId="0" fontId="6" fillId="10" borderId="2" xfId="0" applyFont="1" applyFill="1" applyBorder="1" applyAlignment="1">
      <alignment horizontal="center"/>
    </xf>
    <xf numFmtId="0" fontId="18" fillId="9" borderId="2" xfId="0" applyFont="1" applyFill="1" applyBorder="1" applyAlignment="1">
      <alignment wrapText="1"/>
    </xf>
    <xf numFmtId="0" fontId="25" fillId="0" borderId="0" xfId="0" applyFont="1" applyAlignment="1">
      <alignment horizontal="center" vertical="center" wrapText="1"/>
    </xf>
    <xf numFmtId="0" fontId="25" fillId="0" borderId="0" xfId="0" applyFont="1" applyAlignment="1">
      <alignment horizontal="left" vertical="center" wrapText="1"/>
    </xf>
    <xf numFmtId="0" fontId="26" fillId="0" borderId="0" xfId="0" applyFont="1" applyAlignment="1">
      <alignment horizontal="center" vertical="center" wrapText="1"/>
    </xf>
    <xf numFmtId="0" fontId="8" fillId="0" borderId="0" xfId="0" applyFont="1" applyAlignment="1">
      <alignment horizontal="center" vertical="center" wrapText="1"/>
    </xf>
    <xf numFmtId="0" fontId="27" fillId="10"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4" borderId="47" xfId="0" applyFont="1" applyFill="1" applyBorder="1" applyAlignment="1">
      <alignment horizontal="center" vertical="center" wrapText="1"/>
    </xf>
    <xf numFmtId="0" fontId="18" fillId="4" borderId="47"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26" fillId="0" borderId="0" xfId="0" applyFont="1" applyAlignment="1">
      <alignment horizontal="left" vertical="center" wrapText="1"/>
    </xf>
    <xf numFmtId="1" fontId="9" fillId="20" borderId="2" xfId="0" applyNumberFormat="1" applyFont="1" applyFill="1" applyBorder="1" applyAlignment="1">
      <alignment horizontal="center" vertical="center"/>
    </xf>
    <xf numFmtId="0" fontId="28" fillId="0" borderId="2" xfId="0" applyFont="1" applyBorder="1" applyAlignment="1">
      <alignment horizontal="center" vertical="center" wrapText="1"/>
    </xf>
    <xf numFmtId="0" fontId="9" fillId="0" borderId="2" xfId="0" applyFont="1" applyBorder="1" applyAlignment="1">
      <alignment horizontal="center"/>
    </xf>
    <xf numFmtId="0" fontId="28" fillId="7" borderId="2" xfId="0" applyFont="1" applyFill="1" applyBorder="1" applyAlignment="1">
      <alignment horizontal="center" vertical="center" wrapText="1"/>
    </xf>
    <xf numFmtId="1" fontId="19" fillId="12" borderId="2" xfId="0" applyNumberFormat="1" applyFont="1" applyFill="1" applyBorder="1" applyAlignment="1">
      <alignment horizontal="center" vertical="center"/>
    </xf>
    <xf numFmtId="2" fontId="19" fillId="12" borderId="2" xfId="0" applyNumberFormat="1" applyFont="1" applyFill="1" applyBorder="1" applyAlignment="1">
      <alignment horizontal="center" vertical="center"/>
    </xf>
    <xf numFmtId="2" fontId="19" fillId="11" borderId="2" xfId="0" applyNumberFormat="1" applyFont="1" applyFill="1" applyBorder="1" applyAlignment="1">
      <alignment horizontal="center" vertical="center"/>
    </xf>
    <xf numFmtId="0" fontId="19" fillId="11" borderId="0" xfId="0" applyFont="1" applyFill="1" applyAlignment="1">
      <alignment horizontal="center" vertical="center"/>
    </xf>
    <xf numFmtId="0" fontId="19" fillId="12" borderId="2" xfId="0" applyFont="1" applyFill="1" applyBorder="1" applyAlignment="1">
      <alignment horizontal="center" vertical="center"/>
    </xf>
    <xf numFmtId="0" fontId="19" fillId="3" borderId="2" xfId="0" applyFont="1" applyFill="1" applyBorder="1" applyAlignment="1">
      <alignment horizontal="center" vertical="center"/>
    </xf>
    <xf numFmtId="0" fontId="19" fillId="11" borderId="2" xfId="0" applyFont="1" applyFill="1" applyBorder="1" applyAlignment="1">
      <alignment horizontal="center"/>
    </xf>
    <xf numFmtId="0" fontId="29" fillId="0" borderId="2" xfId="0" applyFont="1" applyBorder="1" applyAlignment="1">
      <alignment horizontal="justify" vertical="center" wrapText="1"/>
    </xf>
    <xf numFmtId="0" fontId="29" fillId="0" borderId="2" xfId="0" applyFont="1" applyBorder="1" applyAlignment="1">
      <alignment horizontal="center" vertical="center" wrapText="1"/>
    </xf>
    <xf numFmtId="0" fontId="19" fillId="12" borderId="2" xfId="0" applyFont="1" applyFill="1" applyBorder="1" applyAlignment="1">
      <alignment vertical="center"/>
    </xf>
    <xf numFmtId="0" fontId="19" fillId="11" borderId="43" xfId="0" applyFont="1" applyFill="1" applyBorder="1" applyAlignment="1">
      <alignment horizontal="center" vertical="center"/>
    </xf>
    <xf numFmtId="0" fontId="0" fillId="5" borderId="2" xfId="0" applyFill="1" applyBorder="1" applyAlignment="1">
      <alignment horizontal="center" vertical="center"/>
    </xf>
    <xf numFmtId="2" fontId="26" fillId="0" borderId="0" xfId="0" applyNumberFormat="1" applyFont="1" applyAlignment="1">
      <alignment horizontal="center" vertical="center" wrapText="1"/>
    </xf>
    <xf numFmtId="2" fontId="28" fillId="0" borderId="2" xfId="0" applyNumberFormat="1" applyFont="1" applyBorder="1" applyAlignment="1">
      <alignment horizontal="center" vertical="center" wrapText="1"/>
    </xf>
    <xf numFmtId="0" fontId="0" fillId="0" borderId="2" xfId="0" applyBorder="1" applyAlignment="1">
      <alignment horizontal="center" wrapText="1"/>
    </xf>
    <xf numFmtId="0" fontId="19" fillId="12" borderId="2" xfId="0" applyFont="1" applyFill="1" applyBorder="1"/>
    <xf numFmtId="0" fontId="19" fillId="11" borderId="41" xfId="0" applyFont="1" applyFill="1" applyBorder="1" applyAlignment="1">
      <alignment horizontal="center" vertical="center"/>
    </xf>
    <xf numFmtId="0" fontId="19" fillId="0" borderId="2" xfId="0" applyFont="1" applyBorder="1" applyAlignment="1">
      <alignment horizontal="center" wrapText="1"/>
    </xf>
    <xf numFmtId="0" fontId="26" fillId="0" borderId="0" xfId="0" quotePrefix="1" applyFont="1" applyAlignment="1">
      <alignment horizontal="center" vertical="center" wrapText="1"/>
    </xf>
    <xf numFmtId="0" fontId="19" fillId="0" borderId="2" xfId="0" applyFont="1" applyBorder="1"/>
    <xf numFmtId="164" fontId="26" fillId="0" borderId="0" xfId="0" applyNumberFormat="1" applyFont="1" applyAlignment="1">
      <alignment horizontal="center" vertical="center" wrapText="1"/>
    </xf>
    <xf numFmtId="164" fontId="28" fillId="0" borderId="2" xfId="0" applyNumberFormat="1" applyFont="1" applyBorder="1" applyAlignment="1">
      <alignment horizontal="center" vertical="center" wrapText="1"/>
    </xf>
    <xf numFmtId="11" fontId="26" fillId="0" borderId="0" xfId="0" applyNumberFormat="1" applyFont="1" applyAlignment="1">
      <alignment horizontal="center" vertical="center" wrapText="1"/>
    </xf>
    <xf numFmtId="11" fontId="28" fillId="0" borderId="2" xfId="0" applyNumberFormat="1" applyFont="1" applyBorder="1" applyAlignment="1">
      <alignment horizontal="center" vertical="center" wrapText="1"/>
    </xf>
    <xf numFmtId="165" fontId="26" fillId="0" borderId="0" xfId="0" applyNumberFormat="1" applyFont="1" applyAlignment="1">
      <alignment horizontal="center" vertical="center" wrapText="1"/>
    </xf>
    <xf numFmtId="0" fontId="26" fillId="0" borderId="0" xfId="0" applyFont="1" applyAlignment="1">
      <alignment wrapText="1"/>
    </xf>
    <xf numFmtId="0" fontId="26" fillId="0" borderId="0" xfId="0" applyFont="1" applyAlignment="1">
      <alignment horizontal="center" wrapText="1"/>
    </xf>
    <xf numFmtId="2" fontId="26" fillId="0" borderId="0" xfId="0" applyNumberFormat="1" applyFont="1" applyAlignment="1">
      <alignment horizontal="center" wrapText="1"/>
    </xf>
    <xf numFmtId="0" fontId="0" fillId="0" borderId="2" xfId="0" applyBorder="1" applyAlignment="1">
      <alignment horizontal="center"/>
    </xf>
    <xf numFmtId="0" fontId="0" fillId="0" borderId="0" xfId="0" applyAlignment="1">
      <alignment horizontal="center"/>
    </xf>
    <xf numFmtId="0" fontId="0" fillId="12" borderId="2" xfId="0" applyFill="1" applyBorder="1" applyAlignment="1">
      <alignment horizontal="center"/>
    </xf>
    <xf numFmtId="11" fontId="26" fillId="0" borderId="0" xfId="0" applyNumberFormat="1" applyFont="1" applyAlignment="1">
      <alignment horizontal="center" wrapText="1"/>
    </xf>
    <xf numFmtId="0" fontId="26" fillId="0" borderId="0" xfId="0" quotePrefix="1" applyFont="1" applyAlignment="1">
      <alignment wrapText="1"/>
    </xf>
    <xf numFmtId="0" fontId="26" fillId="0" borderId="0" xfId="0" applyFont="1" applyAlignment="1">
      <alignment horizontal="left" wrapText="1"/>
    </xf>
    <xf numFmtId="11" fontId="26" fillId="0" borderId="0" xfId="0" applyNumberFormat="1" applyFont="1" applyAlignment="1">
      <alignment horizontal="left" wrapText="1"/>
    </xf>
    <xf numFmtId="11" fontId="26" fillId="0" borderId="0" xfId="0" applyNumberFormat="1" applyFont="1" applyAlignment="1">
      <alignment wrapText="1"/>
    </xf>
    <xf numFmtId="164" fontId="26" fillId="0" borderId="0" xfId="0" applyNumberFormat="1" applyFont="1" applyAlignment="1">
      <alignment horizontal="left" wrapText="1"/>
    </xf>
    <xf numFmtId="0" fontId="26" fillId="0" borderId="0" xfId="0" quotePrefix="1" applyFont="1" applyAlignment="1">
      <alignment horizontal="center" wrapText="1"/>
    </xf>
    <xf numFmtId="0" fontId="26" fillId="0" borderId="0" xfId="0" applyFont="1"/>
    <xf numFmtId="0" fontId="26" fillId="0" borderId="0" xfId="0" applyFont="1" applyAlignment="1">
      <alignment horizontal="left"/>
    </xf>
    <xf numFmtId="0" fontId="26" fillId="0" borderId="0" xfId="2" applyFont="1" applyBorder="1" applyAlignment="1">
      <alignment horizont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4" borderId="40" xfId="0" applyFont="1" applyFill="1" applyBorder="1" applyAlignment="1">
      <alignment horizontal="center" vertical="center" wrapText="1"/>
    </xf>
    <xf numFmtId="0" fontId="5" fillId="4" borderId="34" xfId="0" applyFont="1" applyFill="1" applyBorder="1" applyAlignment="1">
      <alignment horizontal="center" vertical="center" wrapText="1"/>
    </xf>
    <xf numFmtId="0" fontId="5" fillId="4" borderId="32" xfId="0" applyFont="1" applyFill="1" applyBorder="1" applyAlignment="1">
      <alignment horizontal="center" vertical="center" wrapText="1"/>
    </xf>
    <xf numFmtId="0" fontId="5" fillId="4" borderId="33" xfId="0" applyFont="1" applyFill="1" applyBorder="1" applyAlignment="1">
      <alignment horizontal="center" vertical="center" wrapText="1"/>
    </xf>
    <xf numFmtId="0" fontId="24" fillId="4" borderId="33" xfId="0" applyFont="1" applyFill="1" applyBorder="1" applyAlignment="1">
      <alignment horizontal="center" vertical="center" wrapText="1"/>
    </xf>
    <xf numFmtId="0" fontId="24" fillId="4" borderId="34"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24" fillId="15" borderId="21" xfId="0" applyFont="1" applyFill="1" applyBorder="1" applyAlignment="1">
      <alignment horizontal="center" wrapText="1"/>
    </xf>
    <xf numFmtId="0" fontId="24" fillId="15" borderId="21" xfId="0" applyFont="1" applyFill="1" applyBorder="1" applyAlignment="1">
      <alignment wrapText="1"/>
    </xf>
    <xf numFmtId="0" fontId="5" fillId="13" borderId="2" xfId="0" applyFont="1" applyFill="1" applyBorder="1" applyAlignment="1">
      <alignment horizontal="center" vertical="center" wrapText="1"/>
    </xf>
    <xf numFmtId="0" fontId="5" fillId="6" borderId="2" xfId="0" applyFont="1" applyFill="1" applyBorder="1" applyAlignment="1">
      <alignment horizontal="center" vertical="center" wrapText="1"/>
    </xf>
    <xf numFmtId="11" fontId="3" fillId="0" borderId="7" xfId="0" applyNumberFormat="1" applyFont="1" applyBorder="1" applyAlignment="1">
      <alignment horizontal="center" wrapText="1"/>
    </xf>
    <xf numFmtId="2" fontId="3" fillId="0" borderId="7" xfId="0" applyNumberFormat="1" applyFont="1" applyBorder="1" applyAlignment="1">
      <alignment horizontal="center" wrapText="1"/>
    </xf>
    <xf numFmtId="2" fontId="3" fillId="0" borderId="37" xfId="0" applyNumberFormat="1" applyFont="1" applyBorder="1" applyAlignment="1">
      <alignment horizontal="center" wrapText="1"/>
    </xf>
    <xf numFmtId="3" fontId="3" fillId="0" borderId="0" xfId="0" applyNumberFormat="1" applyFont="1" applyAlignment="1">
      <alignment horizontal="center" wrapText="1"/>
    </xf>
    <xf numFmtId="0" fontId="12" fillId="10" borderId="32" xfId="0" applyFont="1" applyFill="1" applyBorder="1" applyAlignment="1">
      <alignment wrapText="1"/>
    </xf>
    <xf numFmtId="0" fontId="12" fillId="0" borderId="44" xfId="0" applyFont="1" applyBorder="1" applyAlignment="1">
      <alignment horizontal="center"/>
    </xf>
    <xf numFmtId="0" fontId="20" fillId="3" borderId="33" xfId="0" applyFont="1" applyFill="1" applyBorder="1" applyAlignment="1">
      <alignment horizontal="center" vertical="center"/>
    </xf>
    <xf numFmtId="0" fontId="20" fillId="3" borderId="34" xfId="0" applyFont="1" applyFill="1" applyBorder="1" applyAlignment="1">
      <alignment horizontal="center" vertical="center"/>
    </xf>
    <xf numFmtId="0" fontId="0" fillId="14" borderId="21" xfId="0" applyFill="1" applyBorder="1"/>
    <xf numFmtId="0" fontId="32" fillId="6" borderId="29" xfId="0" applyFont="1" applyFill="1" applyBorder="1" applyAlignment="1">
      <alignment horizontal="center" vertical="center" wrapText="1"/>
    </xf>
    <xf numFmtId="0" fontId="12" fillId="0" borderId="29" xfId="0" applyFont="1" applyBorder="1" applyAlignment="1">
      <alignment vertical="center"/>
    </xf>
    <xf numFmtId="0" fontId="32" fillId="0" borderId="0" xfId="0" applyFont="1" applyAlignment="1">
      <alignment horizontal="center" vertical="center" wrapText="1"/>
    </xf>
    <xf numFmtId="0" fontId="21" fillId="6" borderId="5" xfId="0" applyFont="1" applyFill="1" applyBorder="1" applyAlignment="1">
      <alignment horizontal="center" vertical="center" wrapText="1"/>
    </xf>
    <xf numFmtId="0" fontId="31" fillId="6" borderId="5" xfId="0" applyFont="1" applyFill="1" applyBorder="1" applyAlignment="1">
      <alignment horizontal="center" vertical="center" wrapText="1"/>
    </xf>
    <xf numFmtId="0" fontId="21" fillId="0" borderId="0" xfId="0" applyFont="1" applyAlignment="1">
      <alignment horizontal="center" vertical="center" wrapText="1"/>
    </xf>
    <xf numFmtId="0" fontId="33" fillId="0" borderId="7" xfId="0" applyFont="1" applyBorder="1" applyAlignment="1">
      <alignment horizontal="center" vertical="center"/>
    </xf>
    <xf numFmtId="0" fontId="0" fillId="0" borderId="10" xfId="0" applyBorder="1" applyAlignment="1">
      <alignment vertical="center"/>
    </xf>
    <xf numFmtId="0" fontId="0" fillId="0" borderId="11" xfId="0" applyBorder="1"/>
    <xf numFmtId="0" fontId="30" fillId="14" borderId="12" xfId="0" applyFont="1" applyFill="1" applyBorder="1" applyAlignment="1">
      <alignment vertical="center"/>
    </xf>
    <xf numFmtId="0" fontId="30" fillId="14" borderId="13" xfId="0" applyFont="1" applyFill="1" applyBorder="1" applyAlignment="1">
      <alignment vertical="center"/>
    </xf>
    <xf numFmtId="0" fontId="30" fillId="0" borderId="37" xfId="0" applyFont="1" applyBorder="1" applyAlignment="1">
      <alignment vertical="center"/>
    </xf>
    <xf numFmtId="0" fontId="30" fillId="14" borderId="14" xfId="0" applyFont="1" applyFill="1" applyBorder="1" applyAlignment="1">
      <alignment vertical="center"/>
    </xf>
    <xf numFmtId="0" fontId="21" fillId="6" borderId="23" xfId="0" applyFont="1" applyFill="1" applyBorder="1" applyAlignment="1">
      <alignment horizontal="center" vertical="center" wrapText="1"/>
    </xf>
    <xf numFmtId="0" fontId="33" fillId="21" borderId="21" xfId="0" applyFont="1" applyFill="1" applyBorder="1" applyAlignment="1">
      <alignment horizontal="center" vertical="center"/>
    </xf>
    <xf numFmtId="0" fontId="21" fillId="6" borderId="24" xfId="0" applyFont="1" applyFill="1" applyBorder="1" applyAlignment="1">
      <alignment horizontal="center" vertical="center" wrapText="1"/>
    </xf>
    <xf numFmtId="164" fontId="3" fillId="0" borderId="0" xfId="0" applyNumberFormat="1" applyFont="1" applyAlignment="1">
      <alignment horizontal="center" wrapText="1"/>
    </xf>
    <xf numFmtId="0" fontId="12" fillId="0" borderId="48" xfId="0" applyFont="1" applyBorder="1" applyAlignment="1">
      <alignment horizontal="center"/>
    </xf>
    <xf numFmtId="0" fontId="11" fillId="3" borderId="33" xfId="0" applyFont="1" applyFill="1" applyBorder="1" applyAlignment="1">
      <alignment horizontal="center" vertical="center" wrapText="1"/>
    </xf>
    <xf numFmtId="1" fontId="20" fillId="3" borderId="33" xfId="0" applyNumberFormat="1" applyFont="1" applyFill="1" applyBorder="1" applyAlignment="1">
      <alignment horizontal="center" vertical="center"/>
    </xf>
    <xf numFmtId="0" fontId="20" fillId="11" borderId="33" xfId="0" applyFont="1" applyFill="1" applyBorder="1" applyAlignment="1">
      <alignment horizontal="center" vertical="center"/>
    </xf>
    <xf numFmtId="0" fontId="12" fillId="0" borderId="33" xfId="0" applyFont="1" applyBorder="1" applyAlignment="1">
      <alignment horizontal="center"/>
    </xf>
    <xf numFmtId="0" fontId="20" fillId="11" borderId="33" xfId="0" applyFont="1" applyFill="1" applyBorder="1" applyAlignment="1">
      <alignment horizontal="center"/>
    </xf>
    <xf numFmtId="0" fontId="21" fillId="13" borderId="33" xfId="0" applyFont="1" applyFill="1" applyBorder="1" applyAlignment="1">
      <alignment vertical="center"/>
    </xf>
    <xf numFmtId="0" fontId="12" fillId="5" borderId="34" xfId="0" applyFont="1" applyFill="1" applyBorder="1" applyAlignment="1">
      <alignment horizontal="center"/>
    </xf>
    <xf numFmtId="0" fontId="12" fillId="0" borderId="33" xfId="0" applyFont="1" applyBorder="1" applyAlignment="1">
      <alignment vertical="center"/>
    </xf>
    <xf numFmtId="0" fontId="12" fillId="0" borderId="33" xfId="0" applyFont="1" applyBorder="1"/>
    <xf numFmtId="0" fontId="12" fillId="0" borderId="39" xfId="0" applyFont="1" applyBorder="1" applyAlignment="1">
      <alignment vertical="center"/>
    </xf>
    <xf numFmtId="1" fontId="16" fillId="0" borderId="0" xfId="0" applyNumberFormat="1" applyFont="1" applyAlignment="1">
      <alignment horizontal="center" vertical="center"/>
    </xf>
    <xf numFmtId="1" fontId="16" fillId="3" borderId="0" xfId="0" applyNumberFormat="1" applyFont="1" applyFill="1" applyAlignment="1">
      <alignment horizontal="center" vertical="center"/>
    </xf>
    <xf numFmtId="0" fontId="11" fillId="3" borderId="0" xfId="0" applyFont="1" applyFill="1" applyAlignment="1">
      <alignment horizontal="center" vertical="center" wrapText="1"/>
    </xf>
    <xf numFmtId="1" fontId="20" fillId="3" borderId="0" xfId="0" applyNumberFormat="1" applyFont="1" applyFill="1" applyAlignment="1">
      <alignment horizontal="center" vertical="center"/>
    </xf>
    <xf numFmtId="0" fontId="20" fillId="11" borderId="0" xfId="0" applyFont="1" applyFill="1" applyAlignment="1">
      <alignment horizontal="center" vertical="center"/>
    </xf>
    <xf numFmtId="0" fontId="11" fillId="0" borderId="0" xfId="0" applyFont="1" applyAlignment="1">
      <alignment horizontal="center" vertical="center" wrapText="1"/>
    </xf>
    <xf numFmtId="0" fontId="20" fillId="3" borderId="0" xfId="0" applyFont="1" applyFill="1" applyAlignment="1">
      <alignment horizontal="center" vertical="center"/>
    </xf>
    <xf numFmtId="0" fontId="20" fillId="11" borderId="0" xfId="0" applyFont="1" applyFill="1" applyAlignment="1">
      <alignment horizontal="center"/>
    </xf>
    <xf numFmtId="0" fontId="12" fillId="10" borderId="0" xfId="0" applyFont="1" applyFill="1" applyAlignment="1">
      <alignment wrapText="1"/>
    </xf>
    <xf numFmtId="0" fontId="20" fillId="3" borderId="0" xfId="0" applyFont="1" applyFill="1" applyAlignment="1">
      <alignment horizontal="center" wrapText="1"/>
    </xf>
    <xf numFmtId="0" fontId="20" fillId="3" borderId="0" xfId="0" applyFont="1" applyFill="1"/>
    <xf numFmtId="0" fontId="21" fillId="13" borderId="0" xfId="0" applyFont="1" applyFill="1" applyAlignment="1">
      <alignment vertical="center"/>
    </xf>
    <xf numFmtId="0" fontId="12" fillId="5" borderId="0" xfId="0" applyFont="1" applyFill="1" applyAlignment="1">
      <alignment horizontal="center"/>
    </xf>
    <xf numFmtId="0" fontId="12" fillId="0" borderId="6" xfId="0" applyFont="1" applyBorder="1" applyAlignment="1">
      <alignment vertical="center"/>
    </xf>
    <xf numFmtId="0" fontId="12" fillId="0" borderId="35" xfId="0" applyFont="1" applyBorder="1" applyAlignment="1">
      <alignment vertical="center"/>
    </xf>
    <xf numFmtId="0" fontId="3" fillId="0" borderId="2" xfId="0" applyFont="1" applyBorder="1" applyAlignment="1">
      <alignment wrapText="1"/>
    </xf>
    <xf numFmtId="0" fontId="3" fillId="0" borderId="2" xfId="0" applyFont="1" applyBorder="1" applyAlignment="1">
      <alignment horizontal="center" vertical="center" wrapText="1"/>
    </xf>
    <xf numFmtId="0" fontId="3" fillId="0" borderId="2" xfId="0" applyFont="1" applyBorder="1" applyAlignment="1">
      <alignment horizontal="center" wrapText="1"/>
    </xf>
    <xf numFmtId="0" fontId="3" fillId="0" borderId="2" xfId="0" applyFont="1" applyBorder="1" applyAlignment="1">
      <alignment horizontal="left" vertical="center" wrapText="1"/>
    </xf>
    <xf numFmtId="0" fontId="3" fillId="0" borderId="10" xfId="0" applyFont="1" applyBorder="1" applyAlignment="1">
      <alignment wrapText="1"/>
    </xf>
    <xf numFmtId="0" fontId="3" fillId="0" borderId="11" xfId="0" applyFont="1" applyBorder="1" applyAlignment="1">
      <alignment wrapText="1"/>
    </xf>
    <xf numFmtId="0" fontId="3" fillId="0" borderId="11" xfId="0" applyFont="1" applyBorder="1" applyAlignment="1">
      <alignment horizontal="center" wrapText="1"/>
    </xf>
    <xf numFmtId="0" fontId="3" fillId="0" borderId="11" xfId="0" applyFont="1" applyBorder="1" applyAlignment="1">
      <alignment horizontal="center" vertical="center" wrapText="1"/>
    </xf>
    <xf numFmtId="0" fontId="3" fillId="0" borderId="12" xfId="0" applyFont="1" applyBorder="1" applyAlignment="1">
      <alignment wrapText="1"/>
    </xf>
    <xf numFmtId="0" fontId="3" fillId="0" borderId="1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50" xfId="0" applyFont="1" applyBorder="1" applyAlignment="1">
      <alignment horizontal="center" vertical="center" wrapText="1"/>
    </xf>
    <xf numFmtId="0" fontId="4" fillId="0" borderId="50" xfId="0" applyFont="1" applyBorder="1" applyAlignment="1">
      <alignment horizontal="left" vertical="center" wrapText="1"/>
    </xf>
    <xf numFmtId="0" fontId="4" fillId="0" borderId="26" xfId="0" applyFont="1" applyBorder="1" applyAlignment="1">
      <alignment horizontal="center" vertical="center" wrapText="1"/>
    </xf>
    <xf numFmtId="0" fontId="12" fillId="0" borderId="51" xfId="0" applyFont="1" applyBorder="1" applyAlignment="1">
      <alignment vertical="center"/>
    </xf>
    <xf numFmtId="0" fontId="32" fillId="6" borderId="21" xfId="0" applyFont="1" applyFill="1" applyBorder="1" applyAlignment="1">
      <alignment horizontal="center" vertical="center" wrapText="1"/>
    </xf>
    <xf numFmtId="0" fontId="3" fillId="0" borderId="18" xfId="0" applyFont="1" applyBorder="1" applyAlignment="1">
      <alignment wrapText="1"/>
    </xf>
    <xf numFmtId="0" fontId="3" fillId="0" borderId="8" xfId="0" applyFont="1" applyBorder="1" applyAlignment="1">
      <alignment horizontal="center" vertical="center" wrapText="1"/>
    </xf>
    <xf numFmtId="0" fontId="3" fillId="0" borderId="8" xfId="0" applyFont="1" applyBorder="1" applyAlignment="1">
      <alignment wrapText="1"/>
    </xf>
    <xf numFmtId="0" fontId="3" fillId="0" borderId="9" xfId="0" applyFont="1" applyBorder="1" applyAlignment="1">
      <alignment wrapText="1"/>
    </xf>
    <xf numFmtId="0" fontId="1" fillId="0" borderId="0" xfId="3"/>
    <xf numFmtId="0" fontId="7" fillId="16" borderId="2" xfId="0" applyFont="1" applyFill="1" applyBorder="1" applyAlignment="1">
      <alignment horizontal="center"/>
    </xf>
    <xf numFmtId="0" fontId="7" fillId="16" borderId="31" xfId="0" applyFont="1" applyFill="1" applyBorder="1" applyAlignment="1">
      <alignment horizontal="center"/>
    </xf>
    <xf numFmtId="0" fontId="7" fillId="4" borderId="0" xfId="0" applyFont="1" applyFill="1" applyAlignment="1">
      <alignment horizontal="center"/>
    </xf>
    <xf numFmtId="0" fontId="7" fillId="16" borderId="25" xfId="0" applyFont="1" applyFill="1" applyBorder="1" applyAlignment="1">
      <alignment horizontal="center"/>
    </xf>
    <xf numFmtId="0" fontId="17" fillId="16" borderId="18" xfId="0" applyFont="1" applyFill="1" applyBorder="1" applyAlignment="1">
      <alignment horizontal="center"/>
    </xf>
    <xf numFmtId="0" fontId="17" fillId="16" borderId="8" xfId="0" applyFont="1" applyFill="1" applyBorder="1" applyAlignment="1">
      <alignment horizontal="center"/>
    </xf>
    <xf numFmtId="0" fontId="17" fillId="16" borderId="28" xfId="0" applyFont="1" applyFill="1" applyBorder="1" applyAlignment="1">
      <alignment horizontal="center"/>
    </xf>
    <xf numFmtId="0" fontId="8" fillId="6" borderId="2" xfId="0" applyFont="1" applyFill="1" applyBorder="1" applyAlignment="1">
      <alignment horizontal="center"/>
    </xf>
    <xf numFmtId="0" fontId="8" fillId="17" borderId="2" xfId="0" applyFont="1" applyFill="1" applyBorder="1" applyAlignment="1">
      <alignment horizontal="center"/>
    </xf>
    <xf numFmtId="0" fontId="13" fillId="12" borderId="2" xfId="0" applyFont="1" applyFill="1" applyBorder="1" applyAlignment="1">
      <alignment horizontal="center" vertical="center" wrapText="1"/>
    </xf>
    <xf numFmtId="0" fontId="7" fillId="11" borderId="2" xfId="0" applyFont="1" applyFill="1" applyBorder="1" applyAlignment="1">
      <alignment horizontal="center" vertical="center" wrapText="1"/>
    </xf>
    <xf numFmtId="0" fontId="8" fillId="19" borderId="6"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0" xfId="0" applyFont="1" applyFill="1" applyAlignment="1">
      <alignment horizontal="center" vertical="center"/>
    </xf>
    <xf numFmtId="0" fontId="8" fillId="19" borderId="35" xfId="0" applyFont="1" applyFill="1" applyBorder="1" applyAlignment="1">
      <alignment horizontal="center" vertical="center"/>
    </xf>
    <xf numFmtId="0" fontId="13" fillId="12" borderId="6" xfId="0" applyFont="1" applyFill="1" applyBorder="1" applyAlignment="1">
      <alignment horizontal="center" vertical="center"/>
    </xf>
    <xf numFmtId="0" fontId="13" fillId="12" borderId="35" xfId="0" applyFont="1" applyFill="1" applyBorder="1" applyAlignment="1">
      <alignment horizontal="center" vertical="center"/>
    </xf>
    <xf numFmtId="0" fontId="18" fillId="6" borderId="2" xfId="0" applyFont="1" applyFill="1" applyBorder="1" applyAlignment="1">
      <alignment horizontal="center" wrapText="1"/>
    </xf>
    <xf numFmtId="0" fontId="13" fillId="20" borderId="2" xfId="0" applyFont="1" applyFill="1" applyBorder="1" applyAlignment="1">
      <alignment horizontal="center" vertical="center"/>
    </xf>
    <xf numFmtId="0" fontId="13" fillId="7" borderId="2" xfId="0" applyFont="1" applyFill="1" applyBorder="1" applyAlignment="1">
      <alignment horizontal="center" vertical="center" wrapText="1"/>
    </xf>
    <xf numFmtId="0" fontId="5" fillId="10" borderId="2" xfId="0" applyFont="1" applyFill="1" applyBorder="1" applyAlignment="1">
      <alignment horizontal="center"/>
    </xf>
    <xf numFmtId="0" fontId="33" fillId="21" borderId="15" xfId="0" applyFont="1" applyFill="1" applyBorder="1" applyAlignment="1">
      <alignment horizontal="center" vertical="center"/>
    </xf>
    <xf numFmtId="0" fontId="33" fillId="21" borderId="21" xfId="0" applyFont="1" applyFill="1" applyBorder="1" applyAlignment="1">
      <alignment horizontal="center" vertical="center"/>
    </xf>
    <xf numFmtId="0" fontId="33" fillId="21" borderId="17" xfId="0" applyFont="1" applyFill="1" applyBorder="1" applyAlignment="1">
      <alignment horizontal="center" vertical="center"/>
    </xf>
    <xf numFmtId="0" fontId="33" fillId="14" borderId="15" xfId="0" applyFont="1" applyFill="1" applyBorder="1" applyAlignment="1">
      <alignment horizontal="center" vertical="center"/>
    </xf>
    <xf numFmtId="0" fontId="33" fillId="14" borderId="21" xfId="0" applyFont="1" applyFill="1" applyBorder="1" applyAlignment="1">
      <alignment horizontal="center" vertical="center"/>
    </xf>
    <xf numFmtId="0" fontId="33" fillId="14" borderId="17" xfId="0" applyFont="1" applyFill="1" applyBorder="1" applyAlignment="1">
      <alignment horizontal="center" vertical="center"/>
    </xf>
    <xf numFmtId="0" fontId="7" fillId="16" borderId="2" xfId="0" applyFont="1" applyFill="1" applyBorder="1" applyAlignment="1">
      <alignment horizontal="center" vertical="center"/>
    </xf>
    <xf numFmtId="0" fontId="17" fillId="11" borderId="31" xfId="0" applyFont="1" applyFill="1" applyBorder="1" applyAlignment="1">
      <alignment horizontal="center" vertical="center" wrapText="1"/>
    </xf>
    <xf numFmtId="0" fontId="17" fillId="11" borderId="6" xfId="0" applyFont="1" applyFill="1" applyBorder="1" applyAlignment="1">
      <alignment horizontal="center" vertical="center" wrapText="1"/>
    </xf>
    <xf numFmtId="0" fontId="17" fillId="11" borderId="35" xfId="0" applyFont="1" applyFill="1" applyBorder="1" applyAlignment="1">
      <alignment horizontal="center" vertical="center" wrapText="1"/>
    </xf>
    <xf numFmtId="0" fontId="17" fillId="11" borderId="36" xfId="0" applyFont="1" applyFill="1" applyBorder="1" applyAlignment="1">
      <alignment horizontal="center" vertical="center" wrapText="1"/>
    </xf>
    <xf numFmtId="0" fontId="18" fillId="12" borderId="29" xfId="0" applyFont="1" applyFill="1" applyBorder="1" applyAlignment="1">
      <alignment horizontal="center" vertical="center" wrapText="1"/>
    </xf>
    <xf numFmtId="0" fontId="18" fillId="12" borderId="39" xfId="0" applyFont="1" applyFill="1" applyBorder="1" applyAlignment="1">
      <alignment horizontal="center" vertical="center" wrapText="1"/>
    </xf>
    <xf numFmtId="0" fontId="18" fillId="18" borderId="2" xfId="0" applyFont="1" applyFill="1" applyBorder="1" applyAlignment="1">
      <alignment horizontal="center" vertical="center" wrapText="1"/>
    </xf>
    <xf numFmtId="0" fontId="18" fillId="18" borderId="33" xfId="0" applyFont="1" applyFill="1" applyBorder="1" applyAlignment="1">
      <alignment horizontal="center" vertical="center" wrapText="1"/>
    </xf>
    <xf numFmtId="0" fontId="24" fillId="18" borderId="10" xfId="0" applyFont="1" applyFill="1" applyBorder="1" applyAlignment="1">
      <alignment horizontal="center" vertical="center" wrapText="1"/>
    </xf>
    <xf numFmtId="0" fontId="18" fillId="18" borderId="32" xfId="0" applyFont="1" applyFill="1" applyBorder="1" applyAlignment="1">
      <alignment horizontal="center" vertical="center" wrapText="1"/>
    </xf>
  </cellXfs>
  <cellStyles count="4">
    <cellStyle name="Hyperlink" xfId="2" builtinId="8"/>
    <cellStyle name="Normal" xfId="0" builtinId="0"/>
    <cellStyle name="Normal 2" xfId="3" xr:uid="{396817CB-33EC-48B8-9E47-F0C743028221}"/>
    <cellStyle name="Standaard 2" xfId="1" xr:uid="{3A986F54-8D43-498C-B2D9-B0A93B5C2652}"/>
  </cellStyles>
  <dxfs count="7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i val="0"/>
        <strike val="0"/>
        <outline val="0"/>
        <shadow val="0"/>
        <u val="none"/>
        <vertAlign val="baseline"/>
        <sz val="10"/>
        <color auto="1"/>
        <name val="Arial"/>
        <family val="2"/>
        <scheme val="none"/>
      </font>
      <alignment horizontal="center"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font>
        <i val="0"/>
        <strike val="0"/>
        <outline val="0"/>
        <shadow val="0"/>
        <u val="none"/>
        <vertAlign val="baseline"/>
        <sz val="10"/>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i val="0"/>
        <strike val="0"/>
        <outline val="0"/>
        <shadow val="0"/>
        <u val="none"/>
        <vertAlign val="baseline"/>
        <sz val="10"/>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i val="0"/>
        <strike val="0"/>
        <outline val="0"/>
        <shadow val="0"/>
        <u val="none"/>
        <vertAlign val="baseline"/>
        <sz val="10"/>
        <color auto="1"/>
        <name val="Arial"/>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i val="0"/>
        <strike val="0"/>
        <outline val="0"/>
        <shadow val="0"/>
        <u val="none"/>
        <vertAlign val="baseline"/>
        <sz val="10"/>
        <color auto="1"/>
        <name val="Arial"/>
        <family val="2"/>
        <scheme val="none"/>
      </font>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diagonalUp="0" diagonalDown="0">
        <left/>
        <top style="medium">
          <color rgb="FF000000"/>
        </top>
        <bottom style="thin">
          <color rgb="FF000000"/>
        </bottom>
      </border>
    </dxf>
    <dxf>
      <font>
        <i val="0"/>
        <strike val="0"/>
        <outline val="0"/>
        <shadow val="0"/>
        <u val="none"/>
        <vertAlign val="baseline"/>
        <sz val="10"/>
        <color auto="1"/>
        <name val="Arial"/>
        <family val="2"/>
        <scheme val="none"/>
      </font>
      <alignment horizontal="center" vertical="center" textRotation="0" wrapText="1" indent="0" justifyLastLine="0" shrinkToFit="0" readingOrder="0"/>
    </dxf>
    <dxf>
      <font>
        <b/>
        <i val="0"/>
        <strike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border diagonalUp="0" diagonalDown="0">
        <left/>
        <top style="medium">
          <color rgb="FF000000"/>
        </top>
        <bottom style="thin">
          <color rgb="FF000000"/>
        </bottom>
      </border>
    </dxf>
    <dxf>
      <font>
        <i val="0"/>
        <strike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outline val="0"/>
        <shadow val="0"/>
        <u val="none"/>
        <vertAlign val="baseline"/>
        <sz val="10"/>
        <color theme="1"/>
        <name val="Arial"/>
        <family val="2"/>
        <scheme val="none"/>
      </font>
      <fill>
        <patternFill patternType="none">
          <fgColor indexed="64"/>
          <bgColor auto="1"/>
        </patternFill>
      </fill>
      <alignment horizontal="center" vertical="center" textRotation="0" wrapText="1" indent="0" justifyLastLine="0" shrinkToFit="0" readingOrder="0"/>
    </dxf>
  </dxfs>
  <tableStyles count="0" defaultTableStyle="TableStyleMedium2" defaultPivotStyle="PivotStyleLight16"/>
  <colors>
    <mruColors>
      <color rgb="FFF4B084"/>
      <color rgb="FFFFFF99"/>
      <color rgb="FFFF66CC"/>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114299</xdr:colOff>
      <xdr:row>0</xdr:row>
      <xdr:rowOff>88898</xdr:rowOff>
    </xdr:from>
    <xdr:to>
      <xdr:col>30</xdr:col>
      <xdr:colOff>257106</xdr:colOff>
      <xdr:row>69</xdr:row>
      <xdr:rowOff>54428</xdr:rowOff>
    </xdr:to>
    <xdr:sp macro="" textlink="">
      <xdr:nvSpPr>
        <xdr:cNvPr id="2" name="TextBox 1">
          <a:extLst>
            <a:ext uri="{FF2B5EF4-FFF2-40B4-BE49-F238E27FC236}">
              <a16:creationId xmlns:a16="http://schemas.microsoft.com/office/drawing/2014/main" id="{B2FF5CBA-CC56-4A6D-ADD6-774BCE9E44EB}"/>
            </a:ext>
          </a:extLst>
        </xdr:cNvPr>
        <xdr:cNvSpPr txBox="1"/>
      </xdr:nvSpPr>
      <xdr:spPr>
        <a:xfrm>
          <a:off x="114299" y="88898"/>
          <a:ext cx="18512450" cy="12171137"/>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1. </a:t>
          </a:r>
          <a:r>
            <a:rPr lang="en-US" sz="1100" u="sng"/>
            <a:t>Objectif du document</a:t>
          </a:r>
          <a:r>
            <a:rPr lang="en-US" sz="1100" u="sng" baseline="0"/>
            <a:t> </a:t>
          </a:r>
          <a:r>
            <a:rPr lang="en-US" sz="1100" baseline="0"/>
            <a:t>: </a:t>
          </a:r>
        </a:p>
        <a:p>
          <a:pPr marL="0" marR="0" lvl="0" indent="0" defTabSz="914400" eaLnBrk="1" fontAlgn="t"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Ce document, structuré en deux onglets, présente l'application de la priorisation des substances selon la méthodologie décrite dans le</a:t>
          </a:r>
          <a:r>
            <a:rPr lang="en-US" sz="1100" b="0" i="0" baseline="0">
              <a:solidFill>
                <a:schemeClr val="dk1"/>
              </a:solidFill>
              <a:effectLst/>
              <a:latin typeface="+mn-lt"/>
              <a:ea typeface="+mn-ea"/>
              <a:cs typeface="+mn-cs"/>
            </a:rPr>
            <a:t> délivrable n°2.</a:t>
          </a:r>
          <a:r>
            <a:rPr lang="en-US" sz="1100" b="0" i="0">
              <a:solidFill>
                <a:schemeClr val="dk1"/>
              </a:solidFill>
              <a:effectLst/>
              <a:latin typeface="+mn-lt"/>
              <a:ea typeface="+mn-ea"/>
              <a:cs typeface="+mn-cs"/>
            </a:rPr>
            <a:t> Sur la base de ce système de sélection, un total de 51 substances (encore autorisées au sein de l'UE), ainsi que 43 substances (interdites dans l’UE), ont été identifiées comme prioritaires.</a:t>
          </a:r>
        </a:p>
        <a:p>
          <a:endParaRPr lang="en-US" sz="1100" baseline="0"/>
        </a:p>
        <a:p>
          <a:r>
            <a:rPr lang="en-US" sz="1100" baseline="0"/>
            <a:t>2. </a:t>
          </a:r>
          <a:r>
            <a:rPr lang="en-US" sz="1100" u="sng" baseline="0"/>
            <a:t>Méthodologie appliquée :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Le schéma ci-dessous illustre de manière synthétique la méthodologie appliquée, et seuils utilisés, pour la sélection des substances prioritaires.</a:t>
          </a:r>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endParaRPr lang="en-US" sz="1100" baseline="0"/>
        </a:p>
        <a:p>
          <a:r>
            <a:rPr lang="en-US" sz="1100" baseline="0"/>
            <a:t>Le processus de sélection s'est déroulé en 3 étapes pour les substances autorisées en UE:</a:t>
          </a:r>
        </a:p>
        <a:p>
          <a:pPr lvl="0"/>
          <a:r>
            <a:rPr lang="fr-BE" sz="1100">
              <a:solidFill>
                <a:schemeClr val="dk1"/>
              </a:solidFill>
              <a:effectLst/>
              <a:latin typeface="+mn-lt"/>
              <a:ea typeface="+mn-ea"/>
              <a:cs typeface="+mn-cs"/>
            </a:rPr>
            <a:t>Étape 1 : Attribution d’un score à chaque substance, calculé sur base de certains paramètres (éco)toxicologiques et de certains paramètres physico-chimiques, classification des substances selon ce score ;</a:t>
          </a:r>
        </a:p>
        <a:p>
          <a:pPr lvl="0"/>
          <a:r>
            <a:rPr lang="fr-BE" sz="1100">
              <a:solidFill>
                <a:schemeClr val="dk1"/>
              </a:solidFill>
              <a:effectLst/>
              <a:latin typeface="+mn-lt"/>
              <a:ea typeface="+mn-ea"/>
              <a:cs typeface="+mn-cs"/>
            </a:rPr>
            <a:t>Étape 2 : Exclusion de substances considérées comme prioritaires à l’issue de l’étape 1 sur base des quantités ;</a:t>
          </a:r>
        </a:p>
        <a:p>
          <a:pPr lvl="0"/>
          <a:r>
            <a:rPr lang="fr-BE" sz="1100">
              <a:solidFill>
                <a:schemeClr val="dk1"/>
              </a:solidFill>
              <a:effectLst/>
              <a:latin typeface="+mn-lt"/>
              <a:ea typeface="+mn-ea"/>
              <a:cs typeface="+mn-cs"/>
            </a:rPr>
            <a:t>Étape 3 : Inclusion de substances considérées comme non prioritaires à l’issue de l’étape 1 lorsqu’elles ont été détectées dans le cadre d’un monitoring ou biomonitoring détaillé dans le délivrable 1.</a:t>
          </a:r>
        </a:p>
        <a:p>
          <a:r>
            <a:rPr lang="fr-BE" sz="1100">
              <a:solidFill>
                <a:schemeClr val="dk1"/>
              </a:solidFill>
              <a:effectLst/>
              <a:latin typeface="+mn-lt"/>
              <a:ea typeface="+mn-ea"/>
              <a:cs typeface="+mn-cs"/>
            </a:rPr>
            <a:t> </a:t>
          </a:r>
        </a:p>
        <a:p>
          <a:r>
            <a:rPr lang="en-US" sz="1100" baseline="0"/>
            <a:t>Pour les substances inerdites, l'ensemble des substances pré-sélectionnées ont été retenues.</a:t>
          </a:r>
        </a:p>
      </xdr:txBody>
    </xdr:sp>
    <xdr:clientData/>
  </xdr:twoCellAnchor>
  <xdr:twoCellAnchor editAs="oneCell">
    <xdr:from>
      <xdr:col>0</xdr:col>
      <xdr:colOff>302520</xdr:colOff>
      <xdr:row>45</xdr:row>
      <xdr:rowOff>52107</xdr:rowOff>
    </xdr:from>
    <xdr:to>
      <xdr:col>11</xdr:col>
      <xdr:colOff>188518</xdr:colOff>
      <xdr:row>64</xdr:row>
      <xdr:rowOff>172328</xdr:rowOff>
    </xdr:to>
    <xdr:pic>
      <xdr:nvPicPr>
        <xdr:cNvPr id="5" name="Picture 4">
          <a:extLst>
            <a:ext uri="{FF2B5EF4-FFF2-40B4-BE49-F238E27FC236}">
              <a16:creationId xmlns:a16="http://schemas.microsoft.com/office/drawing/2014/main" id="{D8994A15-90CB-47C2-E60B-2568B74D732A}"/>
            </a:ext>
          </a:extLst>
        </xdr:cNvPr>
        <xdr:cNvPicPr>
          <a:picLocks noChangeAspect="1"/>
        </xdr:cNvPicPr>
      </xdr:nvPicPr>
      <xdr:blipFill>
        <a:blip xmlns:r="http://schemas.openxmlformats.org/officeDocument/2006/relationships" r:embed="rId1"/>
        <a:stretch>
          <a:fillRect/>
        </a:stretch>
      </xdr:blipFill>
      <xdr:spPr>
        <a:xfrm>
          <a:off x="302520" y="8120342"/>
          <a:ext cx="6542292" cy="3526810"/>
        </a:xfrm>
        <a:prstGeom prst="rect">
          <a:avLst/>
        </a:prstGeom>
      </xdr:spPr>
    </xdr:pic>
    <xdr:clientData/>
  </xdr:twoCellAnchor>
  <xdr:twoCellAnchor editAs="oneCell">
    <xdr:from>
      <xdr:col>12</xdr:col>
      <xdr:colOff>263732</xdr:colOff>
      <xdr:row>46</xdr:row>
      <xdr:rowOff>166553</xdr:rowOff>
    </xdr:from>
    <xdr:to>
      <xdr:col>20</xdr:col>
      <xdr:colOff>120465</xdr:colOff>
      <xdr:row>63</xdr:row>
      <xdr:rowOff>135491</xdr:rowOff>
    </xdr:to>
    <xdr:pic>
      <xdr:nvPicPr>
        <xdr:cNvPr id="6" name="Picture 5">
          <a:extLst>
            <a:ext uri="{FF2B5EF4-FFF2-40B4-BE49-F238E27FC236}">
              <a16:creationId xmlns:a16="http://schemas.microsoft.com/office/drawing/2014/main" id="{6A4FEB9C-048E-2163-7666-C648E64122B6}"/>
            </a:ext>
          </a:extLst>
        </xdr:cNvPr>
        <xdr:cNvPicPr>
          <a:picLocks noChangeAspect="1"/>
        </xdr:cNvPicPr>
      </xdr:nvPicPr>
      <xdr:blipFill>
        <a:blip xmlns:r="http://schemas.openxmlformats.org/officeDocument/2006/relationships" r:embed="rId2"/>
        <a:stretch>
          <a:fillRect/>
        </a:stretch>
      </xdr:blipFill>
      <xdr:spPr>
        <a:xfrm>
          <a:off x="7525144" y="8414082"/>
          <a:ext cx="4697674" cy="3016938"/>
        </a:xfrm>
        <a:prstGeom prst="rect">
          <a:avLst/>
        </a:prstGeom>
      </xdr:spPr>
    </xdr:pic>
    <xdr:clientData/>
  </xdr:twoCellAnchor>
  <xdr:twoCellAnchor editAs="oneCell">
    <xdr:from>
      <xdr:col>21</xdr:col>
      <xdr:colOff>477059</xdr:colOff>
      <xdr:row>45</xdr:row>
      <xdr:rowOff>103076</xdr:rowOff>
    </xdr:from>
    <xdr:to>
      <xdr:col>28</xdr:col>
      <xdr:colOff>494489</xdr:colOff>
      <xdr:row>65</xdr:row>
      <xdr:rowOff>63099</xdr:rowOff>
    </xdr:to>
    <xdr:pic>
      <xdr:nvPicPr>
        <xdr:cNvPr id="7" name="Picture 6">
          <a:extLst>
            <a:ext uri="{FF2B5EF4-FFF2-40B4-BE49-F238E27FC236}">
              <a16:creationId xmlns:a16="http://schemas.microsoft.com/office/drawing/2014/main" id="{AEC8A0D3-CDE2-21E8-38B4-885B001C0E05}"/>
            </a:ext>
          </a:extLst>
        </xdr:cNvPr>
        <xdr:cNvPicPr>
          <a:picLocks noChangeAspect="1"/>
        </xdr:cNvPicPr>
      </xdr:nvPicPr>
      <xdr:blipFill>
        <a:blip xmlns:r="http://schemas.openxmlformats.org/officeDocument/2006/relationships" r:embed="rId3"/>
        <a:stretch>
          <a:fillRect/>
        </a:stretch>
      </xdr:blipFill>
      <xdr:spPr>
        <a:xfrm>
          <a:off x="13184530" y="8171311"/>
          <a:ext cx="4253253" cy="3545906"/>
        </a:xfrm>
        <a:prstGeom prst="rect">
          <a:avLst/>
        </a:prstGeom>
      </xdr:spPr>
    </xdr:pic>
    <xdr:clientData/>
  </xdr:twoCellAnchor>
  <xdr:twoCellAnchor editAs="oneCell">
    <xdr:from>
      <xdr:col>7</xdr:col>
      <xdr:colOff>550017</xdr:colOff>
      <xdr:row>8</xdr:row>
      <xdr:rowOff>7835</xdr:rowOff>
    </xdr:from>
    <xdr:to>
      <xdr:col>22</xdr:col>
      <xdr:colOff>392441</xdr:colOff>
      <xdr:row>35</xdr:row>
      <xdr:rowOff>10133</xdr:rowOff>
    </xdr:to>
    <xdr:pic>
      <xdr:nvPicPr>
        <xdr:cNvPr id="8" name="Picture 7">
          <a:extLst>
            <a:ext uri="{FF2B5EF4-FFF2-40B4-BE49-F238E27FC236}">
              <a16:creationId xmlns:a16="http://schemas.microsoft.com/office/drawing/2014/main" id="{6D5101E6-CAFA-D5DF-C986-4F4E2842066A}"/>
            </a:ext>
          </a:extLst>
        </xdr:cNvPr>
        <xdr:cNvPicPr>
          <a:picLocks noChangeAspect="1"/>
        </xdr:cNvPicPr>
      </xdr:nvPicPr>
      <xdr:blipFill>
        <a:blip xmlns:r="http://schemas.openxmlformats.org/officeDocument/2006/relationships" r:embed="rId4"/>
        <a:stretch>
          <a:fillRect/>
        </a:stretch>
      </xdr:blipFill>
      <xdr:spPr>
        <a:xfrm>
          <a:off x="4805868" y="1466984"/>
          <a:ext cx="8962105" cy="492692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F352EFA-8725-4117-99E2-A21A521E46FD}" name="Table14623576" displayName="Table14623576" ref="A4:AD180" totalsRowShown="0" headerRowDxfId="74" dataDxfId="73" tableBorderDxfId="72">
  <autoFilter ref="A4:AD180" xr:uid="{9B518AFA-EAA5-405C-A58F-097FD568277F}">
    <filterColumn colId="1">
      <filters>
        <filter val="Retardateurs de flamme"/>
      </filters>
    </filterColumn>
  </autoFilter>
  <tableColumns count="30">
    <tableColumn id="1" xr3:uid="{D96D56FB-86C4-4188-9EBC-16A72167A9DD}" name="id" dataDxfId="71"/>
    <tableColumn id="12" xr3:uid="{9B5033F2-DE97-4921-97FE-94AD9FDF0A0A}" name="Famille" dataDxfId="70"/>
    <tableColumn id="2" xr3:uid="{30C1A725-302E-44C3-BA23-E6A27DB1A1E0}" name="Nom_ECHA" dataDxfId="69"/>
    <tableColumn id="3" xr3:uid="{76AF2865-8206-47C1-84D2-85722DD66E61}" name="Acronyme_autre_nom" dataDxfId="68"/>
    <tableColumn id="23" xr3:uid="{4D2195E9-6962-4953-B484-5741D9D2ADBA}" name="EC/List number" dataDxfId="67"/>
    <tableColumn id="4" xr3:uid="{9D992FF3-60D5-44D5-AD2F-4C88EF9DA75E}" name="n_cas" dataDxfId="66"/>
    <tableColumn id="5" xr3:uid="{5BBDA42C-581D-4069-B678-7DA50560BDD1}" name="Formule chimique" dataDxfId="65"/>
    <tableColumn id="6" xr3:uid="{09B412D6-79AC-47CA-B742-14056B128535}" name="Formule SMILES" dataDxfId="64"/>
    <tableColumn id="9" xr3:uid="{33BCC43C-A685-41D5-85DE-A6A1B50ECA2E}" name="Group" dataDxfId="63"/>
    <tableColumn id="10" xr3:uid="{FF404BB0-BEB1-4C74-B0A4-1190CB8780AC}" name="Subgroup" dataDxfId="62"/>
    <tableColumn id="154" xr3:uid="{499E444F-28A3-486A-9701-E1DCABEF337A}" name="Manufactered in and / or imported to the European Economic Area (ECHA)" dataDxfId="61"/>
    <tableColumn id="33" xr3:uid="{AD3BA20F-051E-4710-80D5-D9D2C6CB8F7B}" name="POP List" dataDxfId="60"/>
    <tableColumn id="41" xr3:uid="{AB8661F2-8BF8-4027-A317-E9DD7639F5D8}" name="Priority list EU" dataDxfId="59"/>
    <tableColumn id="40" xr3:uid="{62203A07-3812-4A32-BF33-7422D8A5D322}" name="NORMAN List" dataDxfId="58"/>
    <tableColumn id="43" xr3:uid="{D7EB476B-1B8F-45F3-B48A-D52D1558B449}" name="REACH list (SVHC, Authorisation, Restriction)" dataDxfId="57"/>
    <tableColumn id="42" xr3:uid="{57A2BB88-63A5-4531-ADEF-B6FE86ED59FD}" name="PNN" dataDxfId="56"/>
    <tableColumn id="35" xr3:uid="{191B4077-2108-4039-AF0B-FC29356378B6}" name="Watch list" dataDxfId="55"/>
    <tableColumn id="55" xr3:uid="{358E4BCF-E8AC-41DA-92C8-EEC13B4C5FAE}" name="PBT/ vPvB" dataDxfId="54"/>
    <tableColumn id="29" xr3:uid="{08DEC15E-5191-455E-89C6-3F621CAD00BF}" name="Ready biodegradability" dataDxfId="53"/>
    <tableColumn id="30" xr3:uid="{362DCDFE-9C13-4186-8930-8D9FB5A49A5D}" name="Perturbateur Endocrinien" dataDxfId="52"/>
    <tableColumn id="7" xr3:uid="{A9CDFFEF-B014-453D-8B9E-C825C17A31B2}" name="Phrases H" dataDxfId="51"/>
    <tableColumn id="32" xr3:uid="{C940001F-A6FC-4F44-9AE2-D087976046D5}" name="Cancerogene" dataDxfId="50"/>
    <tableColumn id="19" xr3:uid="{0679FCA5-6AE1-4574-BD7E-11B896C98898}" name="phys6_solubilité_eau" dataDxfId="49"/>
    <tableColumn id="47" xr3:uid="{0B3495D7-012E-4CF5-8584-B047344AC0A2}" name="phys7_pression_de_vapeur" dataDxfId="48"/>
    <tableColumn id="49" xr3:uid="{D6A1B789-6B92-4069-BF14-7A2835A94198}" name="phys8_constante_henry" dataDxfId="47"/>
    <tableColumn id="51" xr3:uid="{A6105C1B-C025-4962-86FB-ABE8A2D25490}" name="phys11_log_kow" dataDxfId="46"/>
    <tableColumn id="26" xr3:uid="{B8A56EE8-7A38-43A6-925F-FACEE40EEF95}" name="phys11_T" dataDxfId="45"/>
    <tableColumn id="56" xr3:uid="{E8B63544-9C5A-4E78-B4E6-86D3844FC6CA}" name="phys12_log_koc" dataDxfId="44"/>
    <tableColumn id="58" xr3:uid="{114F591F-389D-4CA2-8B44-301D7E8C2EBB}" name="phys12_coefficient_partage_carbone organique_eau_Koc" dataDxfId="43">
      <calculatedColumnFormula>SUBSTITUTE(#REF!,".",",")</calculatedColumnFormula>
    </tableColumn>
    <tableColumn id="52" xr3:uid="{47E677E0-9E7D-48CC-828B-5E66ABA7F19B}" name="phys20_temperature d'ébullition" dataDxfId="42"/>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D7D4F90-6123-4360-838E-737DAAE3865C}" name="Table14623578" displayName="Table14623578" ref="A1:AD44" totalsRowShown="0" headerRowDxfId="41" dataDxfId="40" tableBorderDxfId="39">
  <autoFilter ref="A1:AD44" xr:uid="{9B518AFA-EAA5-405C-A58F-097FD568277F}"/>
  <tableColumns count="30">
    <tableColumn id="1" xr3:uid="{C88B753B-8490-48A5-9869-37AB14F3276B}" name="id" dataDxfId="38"/>
    <tableColumn id="12" xr3:uid="{F410B382-C9AB-4B8B-BB61-28045DB2135B}" name="Famille" dataDxfId="37"/>
    <tableColumn id="2" xr3:uid="{E2A901AC-7825-45FC-A39D-C3CE385E85A8}" name="Nom_ECHA" dataDxfId="36"/>
    <tableColumn id="3" xr3:uid="{37CBF3CC-F3E4-4992-8EB0-29EAA5FC5D5E}" name="Acronyme_autre_nom" dataDxfId="35"/>
    <tableColumn id="23" xr3:uid="{67B5AFD6-FE1D-4416-A10C-518F1A7C1579}" name="EC/List number" dataDxfId="34"/>
    <tableColumn id="4" xr3:uid="{26243F5F-AD5D-42DB-9482-EC9F3AA74D1A}" name="n_cas" dataDxfId="33"/>
    <tableColumn id="5" xr3:uid="{27C3FA95-96A2-42BB-98C0-AC8CCB9CE413}" name="Formule chimique" dataDxfId="32"/>
    <tableColumn id="6" xr3:uid="{5A184025-D97C-4754-BD26-341AF84D3E9B}" name="Formule SMILES" dataDxfId="31"/>
    <tableColumn id="9" xr3:uid="{EEF32583-193B-446B-91E0-79DCFF7798C2}" name="Group" dataDxfId="30"/>
    <tableColumn id="10" xr3:uid="{AE48E7DD-49A4-4CEA-969B-6038100D3EBD}" name="Subgroup" dataDxfId="29"/>
    <tableColumn id="154" xr3:uid="{78723E2C-BEAF-4231-9452-B93D8A09DED0}" name="Manufactered in and / or imported to the European Economic Area (ECHA)" dataDxfId="28"/>
    <tableColumn id="33" xr3:uid="{38DB8A5B-F693-401C-8984-A00837CFDD9B}" name="POP List" dataDxfId="27"/>
    <tableColumn id="41" xr3:uid="{B688633C-F77F-4D68-88F8-E503D74AC18F}" name="Priority list EU" dataDxfId="26"/>
    <tableColumn id="40" xr3:uid="{022638EF-3851-4785-AE58-952900E8B868}" name="NORMAN List" dataDxfId="25"/>
    <tableColumn id="43" xr3:uid="{FA37D0B2-6A8B-4CB5-B72D-BEE2969069D6}" name="REACH list (SVHC, Authorisation, Restriction)" dataDxfId="24"/>
    <tableColumn id="42" xr3:uid="{7275B0AD-7FE7-4263-B778-1226E0501791}" name="PNN" dataDxfId="23"/>
    <tableColumn id="35" xr3:uid="{626B89B6-B814-45A1-AED9-6EBAAAF1D7DF}" name="Watch list" dataDxfId="22"/>
    <tableColumn id="55" xr3:uid="{F9D212CC-5293-45C0-AF7C-E21B50F051FA}" name="PBT/ vPvB" dataDxfId="21"/>
    <tableColumn id="29" xr3:uid="{02FB6B6B-3016-4AF1-971E-0062B170CDEC}" name="Ready biodegradability" dataDxfId="20"/>
    <tableColumn id="30" xr3:uid="{8DDC734F-E61F-4118-9932-72DC2F79A468}" name="Perturbateur Endocrinien" dataDxfId="19"/>
    <tableColumn id="7" xr3:uid="{CC662CE2-9FA6-44E7-8800-C923EBCAA6B0}" name="Phrases H" dataDxfId="18"/>
    <tableColumn id="32" xr3:uid="{B84E7DA2-F36E-411F-9CDE-517854514459}" name="Cancerogene" dataDxfId="17"/>
    <tableColumn id="19" xr3:uid="{B0D546F6-64FB-4327-AA97-0EA6802C11EB}" name="phys6_solubilité_eau" dataDxfId="16"/>
    <tableColumn id="47" xr3:uid="{48058E4F-0DB0-4347-B6D7-F3B44B7C534E}" name="phys7_pression_de_vapeur" dataDxfId="15"/>
    <tableColumn id="49" xr3:uid="{1EFD814A-44CB-4228-A6EE-C125C17E1A98}" name="phys8_constante_henry" dataDxfId="14"/>
    <tableColumn id="51" xr3:uid="{EAF37715-92BA-4AD1-AA75-4451400CCF38}" name="phys11_log_kow" dataDxfId="13"/>
    <tableColumn id="26" xr3:uid="{F4AE1F55-30B2-476E-9A0B-EF17BD028705}" name="phys11_T" dataDxfId="12"/>
    <tableColumn id="56" xr3:uid="{1D14217D-CD5F-4018-8A8A-79072A9D7C2B}" name="phys12_log_koc" dataDxfId="11"/>
    <tableColumn id="58" xr3:uid="{69500A65-C3E6-409D-B01D-EF6236D8C97D}" name="phys12_coefficient_partage_carbone organique_eau_Koc" dataDxfId="10">
      <calculatedColumnFormula>SUBSTITUTE(#REF!,".",",")</calculatedColumnFormula>
    </tableColumn>
    <tableColumn id="52" xr3:uid="{66F19E3F-DC3F-4E6C-B3B1-65126AFC99D9}" name="phys20_temperature d'ébullition" dataDxfId="9"/>
  </tableColumns>
  <tableStyleInfo name="TableStyleMedium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commonchemistry.cas.org/detail?cas_rn=77-90-7" TargetMode="External"/><Relationship Id="rId2" Type="http://schemas.openxmlformats.org/officeDocument/2006/relationships/hyperlink" Target="https://echa.europa.eu/fr/substance-information/-/substanceinfo/100.024.019" TargetMode="External"/><Relationship Id="rId1" Type="http://schemas.openxmlformats.org/officeDocument/2006/relationships/hyperlink" Target="https://echa.europa.eu/fr/substance-information/-/substanceinfo/100.014.579" TargetMode="External"/><Relationship Id="rId6" Type="http://schemas.openxmlformats.org/officeDocument/2006/relationships/table" Target="../tables/table1.xml"/><Relationship Id="rId5" Type="http://schemas.openxmlformats.org/officeDocument/2006/relationships/printerSettings" Target="../printerSettings/printerSettings1.bin"/><Relationship Id="rId4" Type="http://schemas.openxmlformats.org/officeDocument/2006/relationships/hyperlink" Target="https://tools.wmflabs.org/magnustools/cas.php?cas=91-20-3&amp;language=fr&amp;title=Naphtal%C3%A8ne"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echa.europa.eu/fr/substance-information/-/substanceinfo/100.162.752" TargetMode="External"/><Relationship Id="rId7" Type="http://schemas.openxmlformats.org/officeDocument/2006/relationships/comments" Target="../comments1.xml"/><Relationship Id="rId2" Type="http://schemas.openxmlformats.org/officeDocument/2006/relationships/hyperlink" Target="https://echa.europa.eu/fr/substance-information/-/substanceinfo/100.162.755" TargetMode="External"/><Relationship Id="rId1" Type="http://schemas.openxmlformats.org/officeDocument/2006/relationships/hyperlink" Target="https://echa.europa.eu/fr/substance-information/-/substanceinfo/100.217.289" TargetMode="External"/><Relationship Id="rId6" Type="http://schemas.openxmlformats.org/officeDocument/2006/relationships/table" Target="../tables/table2.xml"/><Relationship Id="rId5" Type="http://schemas.openxmlformats.org/officeDocument/2006/relationships/vmlDrawing" Target="../drawings/vmlDrawing1.v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814C6-1EC5-4D2A-900E-86CF0FBEECEA}">
  <dimension ref="A1"/>
  <sheetViews>
    <sheetView tabSelected="1" zoomScale="85" zoomScaleNormal="85" workbookViewId="0">
      <selection activeCell="AI8" sqref="AI8"/>
    </sheetView>
  </sheetViews>
  <sheetFormatPr defaultRowHeight="14.5" x14ac:dyDescent="0.35"/>
  <cols>
    <col min="1" max="16384" width="8.7265625" style="245"/>
  </cols>
  <sheetData/>
  <sheetProtection algorithmName="SHA-512" hashValue="jsxEz53wHwn8/ep3M2A5a7GJSv8b5RrK9VCRRgU3H3MKu3IRA6GLa2ayw9q0PWAyOexKfwY9OCx4iItKODKD7Q==" saltValue="kn1d6lzn9+eClgVruPsc+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EC426-ADF5-40AF-8C5E-B2060BDE8205}">
  <sheetPr>
    <pageSetUpPr fitToPage="1"/>
  </sheetPr>
  <dimension ref="A1:CB264"/>
  <sheetViews>
    <sheetView topLeftCell="A157" zoomScale="40" zoomScaleNormal="40" workbookViewId="0">
      <pane xSplit="6" topLeftCell="AE1" activePane="topRight" state="frozen"/>
      <selection pane="topRight" activeCell="AL174" sqref="AL174"/>
    </sheetView>
  </sheetViews>
  <sheetFormatPr defaultColWidth="9.1796875" defaultRowHeight="30" customHeight="1" x14ac:dyDescent="0.55000000000000004"/>
  <cols>
    <col min="1" max="1" width="5.54296875" style="2" customWidth="1"/>
    <col min="2" max="2" width="21.26953125" customWidth="1"/>
    <col min="3" max="3" width="41.453125" style="4" customWidth="1"/>
    <col min="4" max="4" width="19.7265625" style="1" customWidth="1"/>
    <col min="5" max="5" width="16.453125" style="1" customWidth="1"/>
    <col min="6" max="6" width="16.1796875" customWidth="1"/>
    <col min="7" max="7" width="19.453125" hidden="1" customWidth="1"/>
    <col min="8" max="8" width="62.453125" hidden="1" customWidth="1"/>
    <col min="9" max="9" width="19" hidden="1" customWidth="1"/>
    <col min="10" max="10" width="20.453125" style="8" hidden="1" customWidth="1"/>
    <col min="11" max="11" width="37.81640625" style="3" hidden="1" customWidth="1"/>
    <col min="12" max="17" width="16.81640625" hidden="1" customWidth="1"/>
    <col min="18" max="18" width="16.81640625" style="5" hidden="1" customWidth="1"/>
    <col min="19" max="19" width="16.81640625" style="7" hidden="1" customWidth="1"/>
    <col min="20" max="20" width="16.81640625" style="5" hidden="1" customWidth="1"/>
    <col min="21" max="21" width="47.81640625" style="5" hidden="1" customWidth="1"/>
    <col min="22" max="22" width="16.81640625" style="6" hidden="1" customWidth="1"/>
    <col min="23" max="23" width="18.81640625" hidden="1" customWidth="1"/>
    <col min="24" max="24" width="23.54296875" hidden="1" customWidth="1"/>
    <col min="25" max="25" width="30.1796875" style="1" hidden="1" customWidth="1"/>
    <col min="26" max="26" width="25.453125" hidden="1" customWidth="1"/>
    <col min="27" max="27" width="18.81640625" hidden="1" customWidth="1"/>
    <col min="28" max="28" width="22.453125" style="1" hidden="1" customWidth="1"/>
    <col min="29" max="29" width="26.453125" hidden="1" customWidth="1"/>
    <col min="30" max="30" width="27" style="1" hidden="1" customWidth="1"/>
    <col min="31" max="31" width="28.81640625" style="1" customWidth="1"/>
    <col min="32" max="33" width="9.1796875" customWidth="1"/>
    <col min="34" max="34" width="7.81640625" customWidth="1"/>
    <col min="35" max="44" width="7.54296875" customWidth="1"/>
    <col min="45" max="45" width="26" customWidth="1"/>
    <col min="46" max="46" width="15" customWidth="1"/>
    <col min="47" max="47" width="14.81640625" customWidth="1"/>
    <col min="48" max="48" width="14.81640625" hidden="1" customWidth="1"/>
    <col min="49" max="49" width="20.453125" customWidth="1"/>
    <col min="50" max="50" width="32.1796875" hidden="1" customWidth="1"/>
    <col min="51" max="51" width="37.453125" customWidth="1"/>
    <col min="52" max="52" width="25.54296875" customWidth="1"/>
    <col min="53" max="53" width="23.26953125" hidden="1" customWidth="1"/>
    <col min="54" max="54" width="7.54296875" customWidth="1"/>
    <col min="55" max="55" width="22.54296875" customWidth="1"/>
    <col min="56" max="56" width="21.54296875" hidden="1" customWidth="1"/>
    <col min="57" max="57" width="31.1796875" hidden="1" customWidth="1"/>
    <col min="58" max="58" width="25.54296875" hidden="1" customWidth="1"/>
    <col min="59" max="59" width="24.26953125" customWidth="1"/>
    <col min="60" max="60" width="9.1796875" customWidth="1"/>
    <col min="61" max="61" width="41.54296875" style="26" customWidth="1"/>
    <col min="62" max="62" width="28.26953125" style="86" customWidth="1"/>
    <col min="63" max="63" width="41.54296875" style="26" customWidth="1"/>
    <col min="64" max="64" width="25.7265625" customWidth="1"/>
    <col min="65" max="65" width="39.1796875" customWidth="1"/>
    <col min="66" max="66" width="9.1796875" customWidth="1"/>
    <col min="67" max="67" width="30.26953125" hidden="1" customWidth="1"/>
    <col min="68" max="68" width="9.1796875" hidden="1" customWidth="1"/>
    <col min="69" max="69" width="26.54296875" hidden="1" customWidth="1"/>
    <col min="70" max="70" width="9.1796875" hidden="1" customWidth="1"/>
    <col min="71" max="71" width="27.453125" hidden="1" customWidth="1"/>
    <col min="72" max="72" width="27.453125" customWidth="1"/>
    <col min="73" max="74" width="27.453125" hidden="1" customWidth="1"/>
    <col min="75" max="75" width="27.453125" customWidth="1"/>
    <col min="76" max="76" width="27.1796875" customWidth="1"/>
    <col min="77" max="78" width="27.1796875" hidden="1" customWidth="1"/>
    <col min="79" max="79" width="49.453125" customWidth="1"/>
    <col min="80" max="80" width="27.1796875" hidden="1" customWidth="1"/>
    <col min="83" max="83" width="24.7265625" customWidth="1"/>
    <col min="84" max="89" width="9.1796875" customWidth="1"/>
  </cols>
  <sheetData>
    <row r="1" spans="1:80" ht="30" customHeight="1" thickBot="1" x14ac:dyDescent="0.85">
      <c r="A1"/>
      <c r="K1"/>
      <c r="R1"/>
      <c r="S1" s="1"/>
      <c r="T1"/>
      <c r="U1"/>
      <c r="V1"/>
      <c r="AF1" s="246" t="s">
        <v>0</v>
      </c>
      <c r="AG1" s="246"/>
      <c r="AH1" s="246"/>
      <c r="AI1" s="246"/>
      <c r="AJ1" s="246"/>
      <c r="AK1" s="246"/>
      <c r="AL1" s="246"/>
      <c r="AM1" s="246"/>
      <c r="AN1" s="246"/>
      <c r="AO1" s="246"/>
      <c r="AP1" s="246"/>
      <c r="AQ1" s="246"/>
      <c r="AR1" s="246"/>
      <c r="AS1" s="246"/>
      <c r="AT1" s="246"/>
      <c r="AU1" s="246"/>
      <c r="AV1" s="246"/>
      <c r="AW1" s="246"/>
      <c r="AX1" s="246"/>
      <c r="AY1" s="246"/>
      <c r="AZ1" s="246"/>
      <c r="BA1" s="95" t="s">
        <v>1</v>
      </c>
      <c r="BB1" s="13"/>
      <c r="BC1" s="247" t="s">
        <v>2</v>
      </c>
      <c r="BD1" s="248"/>
      <c r="BE1" s="247"/>
      <c r="BF1" s="248"/>
      <c r="BG1" s="249"/>
      <c r="BH1" s="13"/>
      <c r="BI1" s="250" t="s">
        <v>3</v>
      </c>
      <c r="BJ1" s="251"/>
      <c r="BK1" s="251"/>
      <c r="BL1" s="251"/>
      <c r="BM1" s="252"/>
      <c r="BO1" s="273" t="s">
        <v>4</v>
      </c>
    </row>
    <row r="2" spans="1:80" ht="73.5" customHeight="1" thickBot="1" x14ac:dyDescent="0.6">
      <c r="A2"/>
      <c r="K2"/>
      <c r="R2"/>
      <c r="S2" s="1"/>
      <c r="T2"/>
      <c r="U2"/>
      <c r="V2"/>
      <c r="AF2" s="266" t="s">
        <v>5</v>
      </c>
      <c r="AG2" s="266"/>
      <c r="AH2" s="266"/>
      <c r="AI2" s="266"/>
      <c r="AJ2" s="266"/>
      <c r="AK2" s="266"/>
      <c r="AL2" s="266"/>
      <c r="AM2" s="266"/>
      <c r="AN2" s="266"/>
      <c r="AO2" s="266"/>
      <c r="AP2" s="266"/>
      <c r="AQ2" s="266"/>
      <c r="AR2" s="266"/>
      <c r="AS2" s="264" t="s">
        <v>6</v>
      </c>
      <c r="AT2" s="253" t="s">
        <v>7</v>
      </c>
      <c r="AU2" s="253"/>
      <c r="AV2" s="254"/>
      <c r="AW2" s="265" t="s">
        <v>8</v>
      </c>
      <c r="AX2" s="255" t="s">
        <v>9</v>
      </c>
      <c r="AY2" s="255" t="s">
        <v>10</v>
      </c>
      <c r="AZ2" s="256" t="s">
        <v>1</v>
      </c>
      <c r="BA2" s="96"/>
      <c r="BB2" s="14"/>
      <c r="BC2" s="257" t="s">
        <v>11</v>
      </c>
      <c r="BD2" s="258"/>
      <c r="BE2" s="261" t="s">
        <v>12</v>
      </c>
      <c r="BF2" s="98" t="s">
        <v>13</v>
      </c>
      <c r="BG2" s="274" t="s">
        <v>1</v>
      </c>
      <c r="BH2" s="14"/>
      <c r="BI2" s="282" t="s">
        <v>14</v>
      </c>
      <c r="BJ2" s="280" t="s">
        <v>15</v>
      </c>
      <c r="BK2" s="282" t="s">
        <v>16</v>
      </c>
      <c r="BL2" s="278" t="s">
        <v>17</v>
      </c>
      <c r="BM2" s="274" t="s">
        <v>18</v>
      </c>
      <c r="BO2" s="273"/>
    </row>
    <row r="3" spans="1:80" ht="69" customHeight="1" thickBot="1" x14ac:dyDescent="0.6">
      <c r="A3"/>
      <c r="K3"/>
      <c r="R3"/>
      <c r="S3" s="1"/>
      <c r="T3"/>
      <c r="U3"/>
      <c r="V3"/>
      <c r="AF3" s="100">
        <v>20</v>
      </c>
      <c r="AG3" s="100">
        <v>20</v>
      </c>
      <c r="AH3" s="100">
        <v>20</v>
      </c>
      <c r="AI3" s="100">
        <v>20</v>
      </c>
      <c r="AJ3" s="100">
        <v>20</v>
      </c>
      <c r="AK3" s="100">
        <v>10</v>
      </c>
      <c r="AL3" s="100">
        <v>10</v>
      </c>
      <c r="AM3" s="100">
        <v>10</v>
      </c>
      <c r="AN3" s="100">
        <v>10</v>
      </c>
      <c r="AO3" s="100">
        <v>10</v>
      </c>
      <c r="AP3" s="100">
        <v>10</v>
      </c>
      <c r="AQ3" s="100">
        <v>5</v>
      </c>
      <c r="AR3" s="100">
        <v>5</v>
      </c>
      <c r="AS3" s="264"/>
      <c r="AT3" s="263" t="s">
        <v>19</v>
      </c>
      <c r="AU3" s="263" t="s">
        <v>20</v>
      </c>
      <c r="AV3" s="101"/>
      <c r="AW3" s="265"/>
      <c r="AX3" s="255"/>
      <c r="AY3" s="255"/>
      <c r="AZ3" s="256"/>
      <c r="BA3" s="97"/>
      <c r="BB3" s="14"/>
      <c r="BC3" s="257"/>
      <c r="BD3" s="259"/>
      <c r="BE3" s="261"/>
      <c r="BF3" s="99"/>
      <c r="BG3" s="275"/>
      <c r="BH3" s="14"/>
      <c r="BI3" s="282"/>
      <c r="BJ3" s="280"/>
      <c r="BK3" s="282"/>
      <c r="BL3" s="278"/>
      <c r="BM3" s="275"/>
      <c r="BO3" s="273"/>
      <c r="BS3" s="267" t="s">
        <v>21</v>
      </c>
      <c r="BT3" s="268"/>
      <c r="BU3" s="269"/>
      <c r="BV3" s="186"/>
      <c r="BW3" s="194" t="s">
        <v>22</v>
      </c>
      <c r="BX3" s="194" t="s">
        <v>23</v>
      </c>
      <c r="BY3" s="186"/>
      <c r="BZ3" s="270" t="s">
        <v>24</v>
      </c>
      <c r="CA3" s="271"/>
      <c r="CB3" s="272"/>
    </row>
    <row r="4" spans="1:80" s="9" customFormat="1" ht="78.650000000000006" customHeight="1" thickBot="1" x14ac:dyDescent="0.4">
      <c r="A4" s="102" t="s">
        <v>25</v>
      </c>
      <c r="B4" s="102" t="s">
        <v>26</v>
      </c>
      <c r="C4" s="103" t="s">
        <v>27</v>
      </c>
      <c r="D4" s="102" t="s">
        <v>28</v>
      </c>
      <c r="E4" s="102" t="s">
        <v>29</v>
      </c>
      <c r="F4" s="102" t="s">
        <v>30</v>
      </c>
      <c r="G4" s="102" t="s">
        <v>31</v>
      </c>
      <c r="H4" s="102" t="s">
        <v>32</v>
      </c>
      <c r="I4" s="102" t="s">
        <v>33</v>
      </c>
      <c r="J4" s="102" t="s">
        <v>34</v>
      </c>
      <c r="K4" s="102" t="s">
        <v>35</v>
      </c>
      <c r="L4" s="102" t="s">
        <v>36</v>
      </c>
      <c r="M4" s="102" t="s">
        <v>37</v>
      </c>
      <c r="N4" s="102" t="s">
        <v>38</v>
      </c>
      <c r="O4" s="102" t="s">
        <v>39</v>
      </c>
      <c r="P4" s="102" t="s">
        <v>40</v>
      </c>
      <c r="Q4" s="102" t="s">
        <v>41</v>
      </c>
      <c r="R4" s="102" t="s">
        <v>42</v>
      </c>
      <c r="S4" s="104" t="s">
        <v>43</v>
      </c>
      <c r="T4" s="102" t="s">
        <v>44</v>
      </c>
      <c r="U4" s="102" t="s">
        <v>45</v>
      </c>
      <c r="V4" s="102" t="s">
        <v>46</v>
      </c>
      <c r="W4" s="102" t="s">
        <v>47</v>
      </c>
      <c r="X4" s="102" t="s">
        <v>48</v>
      </c>
      <c r="Y4" s="102" t="s">
        <v>49</v>
      </c>
      <c r="Z4" s="102" t="s">
        <v>50</v>
      </c>
      <c r="AA4" s="102" t="s">
        <v>51</v>
      </c>
      <c r="AB4" s="102" t="s">
        <v>52</v>
      </c>
      <c r="AC4" s="102" t="s">
        <v>53</v>
      </c>
      <c r="AD4" s="102" t="s">
        <v>54</v>
      </c>
      <c r="AE4" s="105"/>
      <c r="AF4" s="106" t="s">
        <v>42</v>
      </c>
      <c r="AG4" s="106" t="s">
        <v>44</v>
      </c>
      <c r="AH4" s="106" t="s">
        <v>55</v>
      </c>
      <c r="AI4" s="106" t="s">
        <v>56</v>
      </c>
      <c r="AJ4" s="106" t="s">
        <v>57</v>
      </c>
      <c r="AK4" s="106" t="s">
        <v>58</v>
      </c>
      <c r="AL4" s="106" t="s">
        <v>59</v>
      </c>
      <c r="AM4" s="106" t="s">
        <v>60</v>
      </c>
      <c r="AN4" s="106" t="s">
        <v>61</v>
      </c>
      <c r="AO4" s="106" t="s">
        <v>62</v>
      </c>
      <c r="AP4" s="106" t="s">
        <v>63</v>
      </c>
      <c r="AQ4" s="106" t="s">
        <v>64</v>
      </c>
      <c r="AR4" s="106" t="s">
        <v>65</v>
      </c>
      <c r="AS4" s="264"/>
      <c r="AT4" s="263"/>
      <c r="AU4" s="263"/>
      <c r="AV4" s="107"/>
      <c r="AW4" s="265"/>
      <c r="AX4" s="255"/>
      <c r="AY4" s="255"/>
      <c r="AZ4" s="256"/>
      <c r="BA4" s="108"/>
      <c r="BB4" s="105"/>
      <c r="BC4" s="260"/>
      <c r="BD4" s="259"/>
      <c r="BE4" s="262"/>
      <c r="BF4" s="109"/>
      <c r="BG4" s="276"/>
      <c r="BH4" s="105"/>
      <c r="BI4" s="283"/>
      <c r="BJ4" s="281"/>
      <c r="BK4" s="283"/>
      <c r="BL4" s="279"/>
      <c r="BM4" s="277"/>
      <c r="BN4" s="105"/>
      <c r="BO4" s="273"/>
      <c r="BP4" s="105"/>
      <c r="BQ4" s="110" t="s">
        <v>66</v>
      </c>
      <c r="BR4" s="105"/>
      <c r="BS4" s="193" t="s">
        <v>67</v>
      </c>
      <c r="BT4" s="184" t="s">
        <v>68</v>
      </c>
      <c r="BU4" s="183" t="s">
        <v>69</v>
      </c>
      <c r="BV4" s="185"/>
      <c r="BW4" s="183" t="s">
        <v>70</v>
      </c>
      <c r="BX4" s="183" t="s">
        <v>71</v>
      </c>
      <c r="BY4" s="185"/>
      <c r="BZ4" s="183" t="s">
        <v>72</v>
      </c>
      <c r="CA4" s="184" t="s">
        <v>73</v>
      </c>
      <c r="CB4" s="195" t="s">
        <v>74</v>
      </c>
    </row>
    <row r="5" spans="1:80" s="70" customFormat="1" ht="66.650000000000006" customHeight="1" x14ac:dyDescent="0.55000000000000004">
      <c r="A5" s="104">
        <v>1</v>
      </c>
      <c r="B5" s="104" t="s">
        <v>75</v>
      </c>
      <c r="C5" s="111" t="s">
        <v>76</v>
      </c>
      <c r="D5" s="104" t="s">
        <v>77</v>
      </c>
      <c r="E5" s="104" t="s">
        <v>78</v>
      </c>
      <c r="F5" s="104" t="s">
        <v>79</v>
      </c>
      <c r="G5" s="104" t="s">
        <v>80</v>
      </c>
      <c r="H5" s="104" t="s">
        <v>81</v>
      </c>
      <c r="I5" s="104" t="s">
        <v>82</v>
      </c>
      <c r="J5" s="104" t="s">
        <v>83</v>
      </c>
      <c r="K5" s="104" t="s">
        <v>84</v>
      </c>
      <c r="L5" s="104"/>
      <c r="M5" s="104"/>
      <c r="N5" s="104" t="s">
        <v>85</v>
      </c>
      <c r="O5" s="104"/>
      <c r="P5" s="104"/>
      <c r="Q5" s="102"/>
      <c r="R5" s="104" t="s">
        <v>85</v>
      </c>
      <c r="S5" s="104" t="s">
        <v>86</v>
      </c>
      <c r="T5" s="104" t="s">
        <v>85</v>
      </c>
      <c r="U5" s="104" t="s">
        <v>87</v>
      </c>
      <c r="V5" s="104" t="s">
        <v>88</v>
      </c>
      <c r="W5" s="104" t="s">
        <v>89</v>
      </c>
      <c r="X5" s="104" t="s">
        <v>90</v>
      </c>
      <c r="Y5" s="104" t="s">
        <v>91</v>
      </c>
      <c r="Z5" s="104" t="s">
        <v>92</v>
      </c>
      <c r="AA5" s="104" t="s">
        <v>93</v>
      </c>
      <c r="AB5" s="104" t="s">
        <v>94</v>
      </c>
      <c r="AC5" s="104">
        <v>2253</v>
      </c>
      <c r="AD5" s="104" t="s">
        <v>95</v>
      </c>
      <c r="AE5" s="10"/>
      <c r="AF5" s="30" cm="1">
        <f t="array" ref="AF5">_xlfn.IFS(COUNTIF(Table14623576[[#This Row],[PBT/ vPvB]],"*X*"), 20, TRUE, "")</f>
        <v>20</v>
      </c>
      <c r="AG5" s="30" cm="1">
        <f t="array" ref="AG5">_xlfn.IFS(COUNTIF(Table14623576[[#This Row],[Perturbateur Endocrinien]],"*X*"), 20, TRUE, "")</f>
        <v>20</v>
      </c>
      <c r="AH5" s="30" t="str" cm="1">
        <f t="array" ref="AH5">_xlfn.IFS(COUNTIF(Table14623576[[#This Row],[Phrases H]],"*H350*"), 20, TRUE, "")</f>
        <v/>
      </c>
      <c r="AI5" s="30" t="str" cm="1">
        <f t="array" ref="AI5">_xlfn.IFS(COUNTIF(Table14623576[[#This Row],[Phrases H]],"*H360*"), 20, TRUE, "")</f>
        <v/>
      </c>
      <c r="AJ5" s="30" t="str" cm="1">
        <f t="array" ref="AJ5">_xlfn.IFS(COUNTIF(Table14623576[[#This Row],[Phrases H]],"*H340*"), 20, TRUE, "")</f>
        <v/>
      </c>
      <c r="AK5" s="30" t="str" cm="1">
        <f t="array" ref="AK5">_xlfn.IFS(COUNTIF(Table14623576[[#This Row],[Phrases H]],"*H351*"), 10, TRUE, "")</f>
        <v/>
      </c>
      <c r="AL5" s="30" t="str" cm="1">
        <f t="array" ref="AL5">_xlfn.IFS(COUNTIF(Table14623576[[#This Row],[Phrases H]],"*H361*"), 10, TRUE, "")</f>
        <v/>
      </c>
      <c r="AM5" s="30" t="str" cm="1">
        <f t="array" ref="AM5">_xlfn.IFS(COUNTIF(Table14623576[[#This Row],[Phrases H]],"*H362*"), 10, TRUE, "")</f>
        <v/>
      </c>
      <c r="AN5" s="30" t="str" cm="1">
        <f t="array" ref="AN5">_xlfn.IFS(COUNTIF(Table14623576[[#This Row],[Phrases H]],"*H341*"), 10, TRUE, "")</f>
        <v/>
      </c>
      <c r="AO5" s="30" t="str" cm="1">
        <f t="array" ref="AO5">_xlfn.IFS(COUNTIF(Table14623576[[#This Row],[Phrases H]],"*H372*"), 10, TRUE, "")</f>
        <v/>
      </c>
      <c r="AP5" s="30" t="str" cm="1">
        <f t="array" ref="AP5">_xlfn.IFS(COUNTIF(Table14623576[[#This Row],[Phrases H]],"*H410*"), 10, TRUE, "")</f>
        <v/>
      </c>
      <c r="AQ5" s="30" t="str" cm="1">
        <f t="array" ref="AQ5">_xlfn.IFS(COUNTIF(Table14623576[[#This Row],[Phrases H]],"*H373*"), 5, TRUE, "")</f>
        <v/>
      </c>
      <c r="AR5" s="30" t="str" cm="1">
        <f t="array" ref="AR5">_xlfn.IFS(COUNTIF(Table14623576[[#This Row],[Phrases H]],"*H411*"), 5, TRUE, "")</f>
        <v/>
      </c>
      <c r="AS5" s="112">
        <f>SUM(AF5:AR5)</f>
        <v>40</v>
      </c>
      <c r="AT5" s="113" t="s">
        <v>96</v>
      </c>
      <c r="AU5" s="113">
        <f>59</f>
        <v>59</v>
      </c>
      <c r="AV5" s="114">
        <f t="shared" ref="AV5:AV68" si="0">IF(AU5="N/A","N/A",IF(AU5&gt;=100000,50,(IF(AU5&gt;=1000,40,(IF(AU5&gt;=10,30,(IF(AU5&gt;0.1,20,(IF(AU5&lt;0.1,10,0))))))))))</f>
        <v>30</v>
      </c>
      <c r="AW5" s="115" t="str">
        <f t="shared" ref="AW5:AW37" si="1">IF(AT5="0","0",IF(AT5&lt;2,"20",IF(AT5&lt;3,"10","0")))</f>
        <v>0</v>
      </c>
      <c r="AX5" s="116">
        <f t="shared" ref="AX5:AX36" si="2">AS5+AW5</f>
        <v>40</v>
      </c>
      <c r="AY5" s="117">
        <f>AX5/85</f>
        <v>0.47058823529411764</v>
      </c>
      <c r="AZ5" s="118" t="str">
        <f>IF(AY5&lt;=0.2,"5",IF(AY5&lt;=0.4,"4",IF(AY5&lt;=0.6,"3",IF(AY5&lt;=0.8,"2","1"))))</f>
        <v>3</v>
      </c>
      <c r="BA5" s="119" t="str">
        <f t="shared" ref="BA5:BA36" si="3">IF(AX5&lt;=17,"5",IF(AX5&lt;=34,"4",IF(AX5&lt;=51,"3",IF(AX5&lt;=68,"2","1"))))</f>
        <v>3</v>
      </c>
      <c r="BB5" s="31"/>
      <c r="BC5" s="113">
        <v>1000</v>
      </c>
      <c r="BD5" s="113" t="s">
        <v>97</v>
      </c>
      <c r="BE5" s="120">
        <f>IF(BC5="N/A",0,IF(BC5&lt;=10,5,IF(BC5&lt;=100,10,IF(BC5&lt;=1000,15,IF(BC5&lt;=10000,20,25)))))</f>
        <v>15</v>
      </c>
      <c r="BF5" s="121" t="str">
        <f>IF(BE5=25,"Production très élevée",IF(BE5=20,"Production élevée",IF(BE5=15,"Production modérée",IF(BE5=10,"Faible production",IF(BE5=5,"Très faible production","N/A")))))</f>
        <v>Production modérée</v>
      </c>
      <c r="BG5" s="122" t="str">
        <f>IF(BE5&lt;=5,"E",IF(BE5&lt;=10,"D",IF(BE5&lt;=15,"C",IF(BE5&lt;=20,"B","A"))))</f>
        <v>C</v>
      </c>
      <c r="BH5" s="31"/>
      <c r="BI5" s="123" t="s">
        <v>98</v>
      </c>
      <c r="BJ5" s="124">
        <v>1</v>
      </c>
      <c r="BK5" s="123"/>
      <c r="BL5" s="125">
        <v>0</v>
      </c>
      <c r="BM5" s="126" t="s">
        <v>99</v>
      </c>
      <c r="BN5" s="10"/>
      <c r="BO5" s="60" t="str">
        <f>_xlfn.CONCAT("Catégorie ", BA5,BG5," ",BM5)</f>
        <v>Catégorie 3C NON</v>
      </c>
      <c r="BP5" s="10"/>
      <c r="BQ5" s="127" t="s">
        <v>88</v>
      </c>
      <c r="BR5" s="10"/>
      <c r="BS5" s="187" t="str">
        <f t="shared" ref="BS5:BS36" si="4">IF(AY5&gt;=0.4,"X","")</f>
        <v>X</v>
      </c>
      <c r="BT5" s="19" t="str">
        <f t="shared" ref="BT5:BT36" si="5">IF(AY5&gt;=0.5,"X","")</f>
        <v/>
      </c>
      <c r="BU5" s="19" t="str">
        <f t="shared" ref="BU5:BU36" si="6">IF(AY5&gt;=0.6,"X","")</f>
        <v/>
      </c>
      <c r="BV5" s="10"/>
      <c r="BW5" s="5" t="str">
        <f t="shared" ref="BW5:BW36" si="7">IF(OR(BG5="D", BG5="E"), "X", "")</f>
        <v/>
      </c>
      <c r="BX5" s="5" t="str">
        <f t="shared" ref="BX5:BX36" si="8">IF(BM5="OUI", "X", "")</f>
        <v/>
      </c>
      <c r="BY5"/>
      <c r="BZ5" s="5" t="str">
        <f t="shared" ref="BZ5:BZ36" si="9">IF(OR(AND(BS5="X", BW5&lt;&gt;"X"), AND(BX5="X")), "X", "")</f>
        <v>X</v>
      </c>
      <c r="CA5" s="5" t="str">
        <f t="shared" ref="CA5:CA36" si="10">IF(OR(AND(BT5="X", BW5&lt;&gt;"X"), AND(BX5="X")), "X", "")</f>
        <v/>
      </c>
      <c r="CB5" s="188" t="str">
        <f t="shared" ref="CB5:CB36" si="11">IF(OR(AND(BU5="X", BW5&lt;&gt;"X"), AND(BX5="X")), "X", "")</f>
        <v/>
      </c>
    </row>
    <row r="6" spans="1:80" s="27" customFormat="1" ht="47.5" customHeight="1" x14ac:dyDescent="0.55000000000000004">
      <c r="A6" s="104">
        <v>2</v>
      </c>
      <c r="B6" s="104" t="s">
        <v>75</v>
      </c>
      <c r="C6" s="111" t="s">
        <v>100</v>
      </c>
      <c r="D6" s="104" t="s">
        <v>101</v>
      </c>
      <c r="E6" s="104" t="s">
        <v>102</v>
      </c>
      <c r="F6" s="104" t="s">
        <v>103</v>
      </c>
      <c r="G6" s="104" t="s">
        <v>104</v>
      </c>
      <c r="H6" s="104" t="s">
        <v>105</v>
      </c>
      <c r="I6" s="104" t="s">
        <v>82</v>
      </c>
      <c r="J6" s="104" t="s">
        <v>83</v>
      </c>
      <c r="K6" s="104" t="s">
        <v>106</v>
      </c>
      <c r="L6" s="104"/>
      <c r="M6" s="104"/>
      <c r="N6" s="104"/>
      <c r="O6" s="104"/>
      <c r="P6" s="104"/>
      <c r="Q6" s="102"/>
      <c r="R6" s="104" t="s">
        <v>85</v>
      </c>
      <c r="S6" s="104" t="s">
        <v>107</v>
      </c>
      <c r="T6" s="104"/>
      <c r="U6" s="104" t="s">
        <v>108</v>
      </c>
      <c r="V6" s="104" t="s">
        <v>88</v>
      </c>
      <c r="W6" s="104" t="s">
        <v>109</v>
      </c>
      <c r="X6" s="104" t="s">
        <v>110</v>
      </c>
      <c r="Y6" s="104" t="s">
        <v>111</v>
      </c>
      <c r="Z6" s="104" t="s">
        <v>112</v>
      </c>
      <c r="AA6" s="104">
        <v>20</v>
      </c>
      <c r="AB6" s="128" t="s">
        <v>113</v>
      </c>
      <c r="AC6" s="104" t="s">
        <v>114</v>
      </c>
      <c r="AD6" s="104" t="s">
        <v>115</v>
      </c>
      <c r="AE6"/>
      <c r="AF6" s="30" cm="1">
        <f t="array" ref="AF6">_xlfn.IFS(COUNTIF(Table14623576[[#This Row],[PBT/ vPvB]],"*X*"), 20, TRUE, "")</f>
        <v>20</v>
      </c>
      <c r="AG6" s="30" t="str" cm="1">
        <f t="array" ref="AG6">_xlfn.IFS(COUNTIF(Table14623576[[#This Row],[Perturbateur Endocrinien]],"*X*"), 20, TRUE, "")</f>
        <v/>
      </c>
      <c r="AH6" s="30" t="str" cm="1">
        <f t="array" ref="AH6">_xlfn.IFS(COUNTIF(Table14623576[[#This Row],[Phrases H]],"*H350*"), 20, TRUE, "")</f>
        <v/>
      </c>
      <c r="AI6" s="30" t="str" cm="1">
        <f t="array" ref="AI6">_xlfn.IFS(COUNTIF(Table14623576[[#This Row],[Phrases H]],"*H360*"), 20, TRUE, "")</f>
        <v/>
      </c>
      <c r="AJ6" s="30" t="str" cm="1">
        <f t="array" ref="AJ6">_xlfn.IFS(COUNTIF(Table14623576[[#This Row],[Phrases H]],"*H340*"), 20, TRUE, "")</f>
        <v/>
      </c>
      <c r="AK6" s="30" t="str" cm="1">
        <f t="array" ref="AK6">_xlfn.IFS(COUNTIF(Table14623576[[#This Row],[Phrases H]],"*H351*"), 10, TRUE, "")</f>
        <v/>
      </c>
      <c r="AL6" s="30" t="str" cm="1">
        <f t="array" ref="AL6">_xlfn.IFS(COUNTIF(Table14623576[[#This Row],[Phrases H]],"*H361*"), 10, TRUE, "")</f>
        <v/>
      </c>
      <c r="AM6" s="30" t="str" cm="1">
        <f t="array" ref="AM6">_xlfn.IFS(COUNTIF(Table14623576[[#This Row],[Phrases H]],"*H362*"), 10, TRUE, "")</f>
        <v/>
      </c>
      <c r="AN6" s="30" t="str" cm="1">
        <f t="array" ref="AN6">_xlfn.IFS(COUNTIF(Table14623576[[#This Row],[Phrases H]],"*H341*"), 10, TRUE, "")</f>
        <v/>
      </c>
      <c r="AO6" s="30" t="str" cm="1">
        <f t="array" ref="AO6">_xlfn.IFS(COUNTIF(Table14623576[[#This Row],[Phrases H]],"*H372*"), 10, TRUE, "")</f>
        <v/>
      </c>
      <c r="AP6" s="30" t="str" cm="1">
        <f t="array" ref="AP6">_xlfn.IFS(COUNTIF(Table14623576[[#This Row],[Phrases H]],"*H410*"), 10, TRUE, "")</f>
        <v/>
      </c>
      <c r="AQ6" s="30" t="str" cm="1">
        <f t="array" ref="AQ6">_xlfn.IFS(COUNTIF(Table14623576[[#This Row],[Phrases H]],"*H373*"), 5, TRUE, "")</f>
        <v/>
      </c>
      <c r="AR6" s="30" t="str" cm="1">
        <f t="array" ref="AR6">_xlfn.IFS(COUNTIF(Table14623576[[#This Row],[Phrases H]],"*H411*"), 5, TRUE, "")</f>
        <v/>
      </c>
      <c r="AS6" s="112">
        <f t="shared" ref="AS6:AS69" si="12">SUM(AF6:AR6)</f>
        <v>20</v>
      </c>
      <c r="AT6" s="129" t="s">
        <v>113</v>
      </c>
      <c r="AU6" s="113">
        <v>1E-3</v>
      </c>
      <c r="AV6" s="114">
        <f t="shared" si="0"/>
        <v>10</v>
      </c>
      <c r="AW6" s="115" t="str">
        <f t="shared" si="1"/>
        <v>0</v>
      </c>
      <c r="AX6" s="116">
        <f t="shared" si="2"/>
        <v>20</v>
      </c>
      <c r="AY6" s="117">
        <f t="shared" ref="AY6:AY36" si="13">AX6/85</f>
        <v>0.23529411764705882</v>
      </c>
      <c r="AZ6" s="118" t="str">
        <f t="shared" ref="AZ6:AZ69" si="14">IF(AY6&lt;=0.2,"5",IF(AY6&lt;=0.4,"4",IF(AY6&lt;=0.6,"3",IF(AY6&lt;=0.8,"2","1"))))</f>
        <v>4</v>
      </c>
      <c r="BA6" s="119" t="str">
        <f t="shared" si="3"/>
        <v>4</v>
      </c>
      <c r="BB6" s="32"/>
      <c r="BC6" s="113">
        <v>1000</v>
      </c>
      <c r="BD6" s="113" t="s">
        <v>97</v>
      </c>
      <c r="BE6" s="120">
        <f t="shared" ref="BE6:BE7" si="15">IF(BC6="N/A",0,IF(BC6&lt;=10,5,IF(BC6&lt;=100,10,IF(BC6&lt;=1000,15,IF(BC6&lt;=10000,20,25)))))</f>
        <v>15</v>
      </c>
      <c r="BF6" s="121" t="str">
        <f t="shared" ref="BF6:BF69" si="16">IF(BE6=25,"Production très élevée",IF(BE6=20,"Production élevée",IF(BE6=15,"Production modérée",IF(BE6=10,"Faible production",IF(BE6=5,"Très faible production","N/A")))))</f>
        <v>Production modérée</v>
      </c>
      <c r="BG6" s="122" t="str">
        <f t="shared" ref="BG6:BG69" si="17">IF(BE6&lt;=5,"E",IF(BE6&lt;=10,"D",IF(BE6&lt;=15,"C",IF(BE6&lt;=20,"B","A"))))</f>
        <v>C</v>
      </c>
      <c r="BH6" s="32"/>
      <c r="BI6" s="7"/>
      <c r="BJ6" s="130">
        <v>0</v>
      </c>
      <c r="BK6" s="7"/>
      <c r="BL6" s="131">
        <v>0</v>
      </c>
      <c r="BM6" s="132" t="s">
        <v>99</v>
      </c>
      <c r="BN6"/>
      <c r="BO6" s="60" t="str">
        <f t="shared" ref="BO6:BO10" si="18">_xlfn.CONCAT("Catégorie ", BA6,BG6," ",BM6)</f>
        <v>Catégorie 4C NON</v>
      </c>
      <c r="BP6"/>
      <c r="BQ6" s="42" t="s">
        <v>88</v>
      </c>
      <c r="BR6"/>
      <c r="BS6" s="187" t="str">
        <f t="shared" si="4"/>
        <v/>
      </c>
      <c r="BT6" s="19" t="str">
        <f t="shared" si="5"/>
        <v/>
      </c>
      <c r="BU6" s="19" t="str">
        <f t="shared" si="6"/>
        <v/>
      </c>
      <c r="BV6" s="10"/>
      <c r="BW6" s="5" t="str">
        <f t="shared" si="7"/>
        <v/>
      </c>
      <c r="BX6" s="5" t="str">
        <f t="shared" si="8"/>
        <v/>
      </c>
      <c r="BY6"/>
      <c r="BZ6" s="5" t="str">
        <f t="shared" si="9"/>
        <v/>
      </c>
      <c r="CA6" s="5" t="str">
        <f t="shared" si="10"/>
        <v/>
      </c>
      <c r="CB6" s="188" t="str">
        <f t="shared" si="11"/>
        <v/>
      </c>
    </row>
    <row r="7" spans="1:80" s="27" customFormat="1" ht="58.4" customHeight="1" x14ac:dyDescent="0.55000000000000004">
      <c r="A7" s="104">
        <v>3</v>
      </c>
      <c r="B7" s="104" t="s">
        <v>75</v>
      </c>
      <c r="C7" s="111" t="s">
        <v>116</v>
      </c>
      <c r="D7" s="104" t="s">
        <v>117</v>
      </c>
      <c r="E7" s="104" t="s">
        <v>118</v>
      </c>
      <c r="F7" s="104" t="s">
        <v>119</v>
      </c>
      <c r="G7" s="104" t="s">
        <v>120</v>
      </c>
      <c r="H7" s="104" t="s">
        <v>121</v>
      </c>
      <c r="I7" s="104" t="s">
        <v>82</v>
      </c>
      <c r="J7" s="104" t="s">
        <v>83</v>
      </c>
      <c r="K7" s="104" t="s">
        <v>84</v>
      </c>
      <c r="L7" s="104" t="s">
        <v>85</v>
      </c>
      <c r="M7" s="104"/>
      <c r="N7" s="104" t="s">
        <v>85</v>
      </c>
      <c r="O7" s="104" t="s">
        <v>85</v>
      </c>
      <c r="P7" s="104"/>
      <c r="Q7" s="102"/>
      <c r="R7" s="104" t="s">
        <v>85</v>
      </c>
      <c r="S7" s="104" t="s">
        <v>86</v>
      </c>
      <c r="T7" s="104"/>
      <c r="U7" s="104" t="s">
        <v>108</v>
      </c>
      <c r="V7" s="104" t="s">
        <v>122</v>
      </c>
      <c r="W7" s="104" t="s">
        <v>123</v>
      </c>
      <c r="X7" s="104" t="s">
        <v>124</v>
      </c>
      <c r="Y7" s="104" t="s">
        <v>125</v>
      </c>
      <c r="Z7" s="104" t="s">
        <v>126</v>
      </c>
      <c r="AA7" s="104" t="s">
        <v>93</v>
      </c>
      <c r="AB7" s="104" t="s">
        <v>127</v>
      </c>
      <c r="AC7" s="104" t="s">
        <v>88</v>
      </c>
      <c r="AD7" s="104" t="s">
        <v>128</v>
      </c>
      <c r="AE7"/>
      <c r="AF7" s="30" cm="1">
        <f t="array" ref="AF7">_xlfn.IFS(COUNTIF(Table14623576[[#This Row],[PBT/ vPvB]],"*X*"), 20, TRUE, "")</f>
        <v>20</v>
      </c>
      <c r="AG7" s="30" t="str" cm="1">
        <f t="array" ref="AG7">_xlfn.IFS(COUNTIF(Table14623576[[#This Row],[Perturbateur Endocrinien]],"*X*"), 20, TRUE, "")</f>
        <v/>
      </c>
      <c r="AH7" s="30" t="str" cm="1">
        <f t="array" ref="AH7">_xlfn.IFS(COUNTIF(Table14623576[[#This Row],[Phrases H]],"*H350*"), 20, TRUE, "")</f>
        <v/>
      </c>
      <c r="AI7" s="30" t="str" cm="1">
        <f t="array" ref="AI7">_xlfn.IFS(COUNTIF(Table14623576[[#This Row],[Phrases H]],"*H360*"), 20, TRUE, "")</f>
        <v/>
      </c>
      <c r="AJ7" s="30" t="str" cm="1">
        <f t="array" ref="AJ7">_xlfn.IFS(COUNTIF(Table14623576[[#This Row],[Phrases H]],"*H340*"), 20, TRUE, "")</f>
        <v/>
      </c>
      <c r="AK7" s="30" t="str" cm="1">
        <f t="array" ref="AK7">_xlfn.IFS(COUNTIF(Table14623576[[#This Row],[Phrases H]],"*H351*"), 10, TRUE, "")</f>
        <v/>
      </c>
      <c r="AL7" s="30" t="str" cm="1">
        <f t="array" ref="AL7">_xlfn.IFS(COUNTIF(Table14623576[[#This Row],[Phrases H]],"*H361*"), 10, TRUE, "")</f>
        <v/>
      </c>
      <c r="AM7" s="30" t="str" cm="1">
        <f t="array" ref="AM7">_xlfn.IFS(COUNTIF(Table14623576[[#This Row],[Phrases H]],"*H362*"), 10, TRUE, "")</f>
        <v/>
      </c>
      <c r="AN7" s="30" t="str" cm="1">
        <f t="array" ref="AN7">_xlfn.IFS(COUNTIF(Table14623576[[#This Row],[Phrases H]],"*H341*"), 10, TRUE, "")</f>
        <v/>
      </c>
      <c r="AO7" s="30" t="str" cm="1">
        <f t="array" ref="AO7">_xlfn.IFS(COUNTIF(Table14623576[[#This Row],[Phrases H]],"*H372*"), 10, TRUE, "")</f>
        <v/>
      </c>
      <c r="AP7" s="30" t="str" cm="1">
        <f t="array" ref="AP7">_xlfn.IFS(COUNTIF(Table14623576[[#This Row],[Phrases H]],"*H410*"), 10, TRUE, "")</f>
        <v/>
      </c>
      <c r="AQ7" s="30" t="str" cm="1">
        <f t="array" ref="AQ7">_xlfn.IFS(COUNTIF(Table14623576[[#This Row],[Phrases H]],"*H373*"), 5, TRUE, "")</f>
        <v/>
      </c>
      <c r="AR7" s="30" t="str" cm="1">
        <f t="array" ref="AR7">_xlfn.IFS(COUNTIF(Table14623576[[#This Row],[Phrases H]],"*H411*"), 5, TRUE, "")</f>
        <v/>
      </c>
      <c r="AS7" s="112">
        <f t="shared" si="12"/>
        <v>20</v>
      </c>
      <c r="AT7" s="113" t="s">
        <v>127</v>
      </c>
      <c r="AU7" s="113">
        <v>1E-4</v>
      </c>
      <c r="AV7" s="114">
        <f t="shared" si="0"/>
        <v>10</v>
      </c>
      <c r="AW7" s="115" t="str">
        <f t="shared" si="1"/>
        <v>0</v>
      </c>
      <c r="AX7" s="116">
        <f t="shared" si="2"/>
        <v>20</v>
      </c>
      <c r="AY7" s="117">
        <f t="shared" si="13"/>
        <v>0.23529411764705882</v>
      </c>
      <c r="AZ7" s="118" t="str">
        <f>IF(AY7&lt;=0.2,"5",IF(AY7&lt;=0.4,"4",IF(AY7&lt;=0.6,"3",IF(AY7&lt;=0.8,"2","1"))))</f>
        <v>4</v>
      </c>
      <c r="BA7" s="119" t="str">
        <f t="shared" si="3"/>
        <v>4</v>
      </c>
      <c r="BB7" s="32"/>
      <c r="BC7" s="113">
        <v>1000</v>
      </c>
      <c r="BD7" s="113" t="s">
        <v>97</v>
      </c>
      <c r="BE7" s="120">
        <f t="shared" si="15"/>
        <v>15</v>
      </c>
      <c r="BF7" s="121" t="str">
        <f t="shared" si="16"/>
        <v>Production modérée</v>
      </c>
      <c r="BG7" s="122" t="str">
        <f t="shared" si="17"/>
        <v>C</v>
      </c>
      <c r="BH7"/>
      <c r="BI7" s="7" t="s">
        <v>129</v>
      </c>
      <c r="BJ7" s="130">
        <v>2</v>
      </c>
      <c r="BK7" s="7" t="s">
        <v>130</v>
      </c>
      <c r="BL7" s="131">
        <v>1</v>
      </c>
      <c r="BM7" s="132" t="s">
        <v>131</v>
      </c>
      <c r="BN7"/>
      <c r="BO7" s="60" t="str">
        <f t="shared" si="18"/>
        <v>Catégorie 4C OUI</v>
      </c>
      <c r="BP7"/>
      <c r="BQ7" s="42" t="s">
        <v>132</v>
      </c>
      <c r="BR7"/>
      <c r="BS7" s="187" t="str">
        <f t="shared" si="4"/>
        <v/>
      </c>
      <c r="BT7" s="19" t="str">
        <f t="shared" si="5"/>
        <v/>
      </c>
      <c r="BU7" s="19" t="str">
        <f t="shared" si="6"/>
        <v/>
      </c>
      <c r="BV7" s="10"/>
      <c r="BW7" s="5" t="str">
        <f t="shared" si="7"/>
        <v/>
      </c>
      <c r="BX7" s="5" t="str">
        <f t="shared" si="8"/>
        <v>X</v>
      </c>
      <c r="BY7"/>
      <c r="BZ7" s="5" t="str">
        <f t="shared" si="9"/>
        <v>X</v>
      </c>
      <c r="CA7" s="5" t="str">
        <f t="shared" si="10"/>
        <v>X</v>
      </c>
      <c r="CB7" s="188" t="str">
        <f t="shared" si="11"/>
        <v>X</v>
      </c>
    </row>
    <row r="8" spans="1:80" s="27" customFormat="1" ht="50.5" customHeight="1" x14ac:dyDescent="0.55000000000000004">
      <c r="A8" s="104">
        <v>4</v>
      </c>
      <c r="B8" s="104" t="s">
        <v>75</v>
      </c>
      <c r="C8" s="111" t="s">
        <v>133</v>
      </c>
      <c r="D8" s="104" t="s">
        <v>134</v>
      </c>
      <c r="E8" s="104" t="s">
        <v>135</v>
      </c>
      <c r="F8" s="104" t="s">
        <v>136</v>
      </c>
      <c r="G8" s="104" t="s">
        <v>137</v>
      </c>
      <c r="H8" s="104" t="s">
        <v>138</v>
      </c>
      <c r="I8" s="104" t="s">
        <v>82</v>
      </c>
      <c r="J8" s="104" t="s">
        <v>83</v>
      </c>
      <c r="K8" s="104" t="s">
        <v>139</v>
      </c>
      <c r="L8" s="104"/>
      <c r="M8" s="104" t="s">
        <v>85</v>
      </c>
      <c r="N8" s="104" t="s">
        <v>85</v>
      </c>
      <c r="O8" s="104" t="s">
        <v>85</v>
      </c>
      <c r="P8" s="104"/>
      <c r="Q8" s="102"/>
      <c r="R8" s="104"/>
      <c r="S8" s="104" t="s">
        <v>88</v>
      </c>
      <c r="T8" s="104"/>
      <c r="U8" s="104" t="s">
        <v>140</v>
      </c>
      <c r="V8" s="104" t="s">
        <v>122</v>
      </c>
      <c r="W8" s="104" t="s">
        <v>141</v>
      </c>
      <c r="X8" s="104" t="s">
        <v>142</v>
      </c>
      <c r="Y8" s="104" t="s">
        <v>143</v>
      </c>
      <c r="Z8" s="104" t="s">
        <v>144</v>
      </c>
      <c r="AA8" s="104">
        <v>25</v>
      </c>
      <c r="AB8" s="128">
        <f>LOG(1950)</f>
        <v>3.2900346113625178</v>
      </c>
      <c r="AC8" s="104" t="s">
        <v>145</v>
      </c>
      <c r="AD8" s="104" t="s">
        <v>146</v>
      </c>
      <c r="AE8"/>
      <c r="AF8" s="30" t="str" cm="1">
        <f t="array" ref="AF8">_xlfn.IFS(COUNTIF(Table14623576[[#This Row],[PBT/ vPvB]],"*X*"), 20, TRUE, "")</f>
        <v/>
      </c>
      <c r="AG8" s="30" t="str" cm="1">
        <f t="array" ref="AG8">_xlfn.IFS(COUNTIF(Table14623576[[#This Row],[Perturbateur Endocrinien]],"*X*"), 20, TRUE, "")</f>
        <v/>
      </c>
      <c r="AH8" s="30" t="str" cm="1">
        <f t="array" ref="AH8">_xlfn.IFS(COUNTIF(Table14623576[[#This Row],[Phrases H]],"*H350*"), 20, TRUE, "")</f>
        <v/>
      </c>
      <c r="AI8" s="30" cm="1">
        <f t="array" ref="AI8">_xlfn.IFS(COUNTIF(Table14623576[[#This Row],[Phrases H]],"*H360*"), 20, TRUE, "")</f>
        <v>20</v>
      </c>
      <c r="AJ8" s="30" t="str" cm="1">
        <f t="array" ref="AJ8">_xlfn.IFS(COUNTIF(Table14623576[[#This Row],[Phrases H]],"*H340*"), 20, TRUE, "")</f>
        <v/>
      </c>
      <c r="AK8" s="30" t="str" cm="1">
        <f t="array" ref="AK8">_xlfn.IFS(COUNTIF(Table14623576[[#This Row],[Phrases H]],"*H351*"), 10, TRUE, "")</f>
        <v/>
      </c>
      <c r="AL8" s="30" t="str" cm="1">
        <f t="array" ref="AL8">_xlfn.IFS(COUNTIF(Table14623576[[#This Row],[Phrases H]],"*H361*"), 10, TRUE, "")</f>
        <v/>
      </c>
      <c r="AM8" s="30" t="str" cm="1">
        <f t="array" ref="AM8">_xlfn.IFS(COUNTIF(Table14623576[[#This Row],[Phrases H]],"*H362*"), 10, TRUE, "")</f>
        <v/>
      </c>
      <c r="AN8" s="30" t="str" cm="1">
        <f t="array" ref="AN8">_xlfn.IFS(COUNTIF(Table14623576[[#This Row],[Phrases H]],"*H341*"), 10, TRUE, "")</f>
        <v/>
      </c>
      <c r="AO8" s="30" t="str" cm="1">
        <f t="array" ref="AO8">_xlfn.IFS(COUNTIF(Table14623576[[#This Row],[Phrases H]],"*H372*"), 10, TRUE, "")</f>
        <v/>
      </c>
      <c r="AP8" s="30" t="str" cm="1">
        <f t="array" ref="AP8">_xlfn.IFS(COUNTIF(Table14623576[[#This Row],[Phrases H]],"*H410*"), 10, TRUE, "")</f>
        <v/>
      </c>
      <c r="AQ8" s="30" t="str" cm="1">
        <f t="array" ref="AQ8">_xlfn.IFS(COUNTIF(Table14623576[[#This Row],[Phrases H]],"*H373*"), 5, TRUE, "")</f>
        <v/>
      </c>
      <c r="AR8" s="30" t="str" cm="1">
        <f t="array" ref="AR8">_xlfn.IFS(COUNTIF(Table14623576[[#This Row],[Phrases H]],"*H411*"), 5, TRUE, "")</f>
        <v/>
      </c>
      <c r="AS8" s="112">
        <f t="shared" si="12"/>
        <v>20</v>
      </c>
      <c r="AT8" s="129">
        <f>LOG(1950)</f>
        <v>3.2900346113625178</v>
      </c>
      <c r="AU8" s="113">
        <v>5.0000000000000001E-3</v>
      </c>
      <c r="AV8" s="114">
        <f t="shared" si="0"/>
        <v>10</v>
      </c>
      <c r="AW8" s="115" t="str">
        <f t="shared" si="1"/>
        <v>0</v>
      </c>
      <c r="AX8" s="116">
        <f t="shared" si="2"/>
        <v>20</v>
      </c>
      <c r="AY8" s="117">
        <f t="shared" si="13"/>
        <v>0.23529411764705882</v>
      </c>
      <c r="AZ8" s="118" t="str">
        <f t="shared" si="14"/>
        <v>4</v>
      </c>
      <c r="BA8" s="119" t="str">
        <f t="shared" si="3"/>
        <v>4</v>
      </c>
      <c r="BB8" s="32"/>
      <c r="BC8" s="113" t="s">
        <v>147</v>
      </c>
      <c r="BD8" s="113" t="s">
        <v>97</v>
      </c>
      <c r="BE8" s="120">
        <f>IF(BC8="N/A",0,IF(BC8&lt;=10,5,IF(BC8&lt;=100,10,IF(BC8&lt;=1000,15,IF(BC8&lt;=10000,20,25)))))</f>
        <v>25</v>
      </c>
      <c r="BF8" s="121" t="str">
        <f t="shared" si="16"/>
        <v>Production très élevée</v>
      </c>
      <c r="BG8" s="122" t="str">
        <f t="shared" si="17"/>
        <v>A</v>
      </c>
      <c r="BH8" s="32"/>
      <c r="BI8" s="7" t="s">
        <v>148</v>
      </c>
      <c r="BJ8" s="130">
        <v>2</v>
      </c>
      <c r="BK8" s="7" t="s">
        <v>149</v>
      </c>
      <c r="BL8" s="131">
        <v>1</v>
      </c>
      <c r="BM8" s="132" t="s">
        <v>131</v>
      </c>
      <c r="BN8"/>
      <c r="BO8" s="60" t="str">
        <f t="shared" si="18"/>
        <v>Catégorie 4A OUI</v>
      </c>
      <c r="BP8"/>
      <c r="BQ8" s="42" t="s">
        <v>150</v>
      </c>
      <c r="BR8"/>
      <c r="BS8" s="187" t="str">
        <f t="shared" si="4"/>
        <v/>
      </c>
      <c r="BT8" s="19" t="str">
        <f t="shared" si="5"/>
        <v/>
      </c>
      <c r="BU8" s="19" t="str">
        <f t="shared" si="6"/>
        <v/>
      </c>
      <c r="BV8" s="10"/>
      <c r="BW8" s="5" t="str">
        <f t="shared" si="7"/>
        <v/>
      </c>
      <c r="BX8" s="5" t="str">
        <f t="shared" si="8"/>
        <v>X</v>
      </c>
      <c r="BY8"/>
      <c r="BZ8" s="5" t="str">
        <f t="shared" si="9"/>
        <v>X</v>
      </c>
      <c r="CA8" s="5" t="str">
        <f t="shared" si="10"/>
        <v>X</v>
      </c>
      <c r="CB8" s="188" t="str">
        <f t="shared" si="11"/>
        <v>X</v>
      </c>
    </row>
    <row r="9" spans="1:80" s="27" customFormat="1" ht="45" customHeight="1" x14ac:dyDescent="0.55000000000000004">
      <c r="A9" s="104">
        <v>5</v>
      </c>
      <c r="B9" s="104" t="s">
        <v>75</v>
      </c>
      <c r="C9" s="111" t="s">
        <v>151</v>
      </c>
      <c r="D9" s="104" t="s">
        <v>152</v>
      </c>
      <c r="E9" s="104" t="s">
        <v>153</v>
      </c>
      <c r="F9" s="104" t="s">
        <v>154</v>
      </c>
      <c r="G9" s="104" t="s">
        <v>155</v>
      </c>
      <c r="H9" s="104" t="s">
        <v>156</v>
      </c>
      <c r="I9" s="104" t="s">
        <v>82</v>
      </c>
      <c r="J9" s="104" t="s">
        <v>83</v>
      </c>
      <c r="K9" s="104" t="s">
        <v>157</v>
      </c>
      <c r="L9" s="104" t="s">
        <v>85</v>
      </c>
      <c r="M9" s="104" t="s">
        <v>85</v>
      </c>
      <c r="N9" s="104" t="s">
        <v>85</v>
      </c>
      <c r="O9" s="104"/>
      <c r="P9" s="104"/>
      <c r="Q9" s="102"/>
      <c r="R9" s="104" t="s">
        <v>85</v>
      </c>
      <c r="S9" s="104" t="s">
        <v>86</v>
      </c>
      <c r="T9" s="104"/>
      <c r="U9" s="104" t="s">
        <v>108</v>
      </c>
      <c r="V9" s="104" t="s">
        <v>88</v>
      </c>
      <c r="W9" s="104" t="s">
        <v>158</v>
      </c>
      <c r="X9" s="104" t="s">
        <v>159</v>
      </c>
      <c r="Y9" s="104" t="s">
        <v>160</v>
      </c>
      <c r="Z9" s="104" t="s">
        <v>161</v>
      </c>
      <c r="AA9" s="104">
        <v>25</v>
      </c>
      <c r="AB9" s="128">
        <v>4.3747483459999996</v>
      </c>
      <c r="AC9" s="104" t="s">
        <v>162</v>
      </c>
      <c r="AD9" s="104" t="s">
        <v>163</v>
      </c>
      <c r="AE9"/>
      <c r="AF9" s="30" cm="1">
        <f t="array" ref="AF9">_xlfn.IFS(COUNTIF(Table14623576[[#This Row],[PBT/ vPvB]],"*X*"), 20, TRUE, "")</f>
        <v>20</v>
      </c>
      <c r="AG9" s="30" t="str" cm="1">
        <f t="array" ref="AG9">_xlfn.IFS(COUNTIF(Table14623576[[#This Row],[Perturbateur Endocrinien]],"*X*"), 20, TRUE, "")</f>
        <v/>
      </c>
      <c r="AH9" s="30" t="str" cm="1">
        <f t="array" ref="AH9">_xlfn.IFS(COUNTIF(Table14623576[[#This Row],[Phrases H]],"*H350*"), 20, TRUE, "")</f>
        <v/>
      </c>
      <c r="AI9" s="30" t="str" cm="1">
        <f t="array" ref="AI9">_xlfn.IFS(COUNTIF(Table14623576[[#This Row],[Phrases H]],"*H360*"), 20, TRUE, "")</f>
        <v/>
      </c>
      <c r="AJ9" s="30" t="str" cm="1">
        <f t="array" ref="AJ9">_xlfn.IFS(COUNTIF(Table14623576[[#This Row],[Phrases H]],"*H340*"), 20, TRUE, "")</f>
        <v/>
      </c>
      <c r="AK9" s="30" t="str" cm="1">
        <f t="array" ref="AK9">_xlfn.IFS(COUNTIF(Table14623576[[#This Row],[Phrases H]],"*H351*"), 10, TRUE, "")</f>
        <v/>
      </c>
      <c r="AL9" s="30" t="str" cm="1">
        <f t="array" ref="AL9">_xlfn.IFS(COUNTIF(Table14623576[[#This Row],[Phrases H]],"*H361*"), 10, TRUE, "")</f>
        <v/>
      </c>
      <c r="AM9" s="30" t="str" cm="1">
        <f t="array" ref="AM9">_xlfn.IFS(COUNTIF(Table14623576[[#This Row],[Phrases H]],"*H362*"), 10, TRUE, "")</f>
        <v/>
      </c>
      <c r="AN9" s="30" t="str" cm="1">
        <f t="array" ref="AN9">_xlfn.IFS(COUNTIF(Table14623576[[#This Row],[Phrases H]],"*H341*"), 10, TRUE, "")</f>
        <v/>
      </c>
      <c r="AO9" s="30" t="str" cm="1">
        <f t="array" ref="AO9">_xlfn.IFS(COUNTIF(Table14623576[[#This Row],[Phrases H]],"*H372*"), 10, TRUE, "")</f>
        <v/>
      </c>
      <c r="AP9" s="30" t="str" cm="1">
        <f t="array" ref="AP9">_xlfn.IFS(COUNTIF(Table14623576[[#This Row],[Phrases H]],"*H410*"), 10, TRUE, "")</f>
        <v/>
      </c>
      <c r="AQ9" s="30" t="str" cm="1">
        <f t="array" ref="AQ9">_xlfn.IFS(COUNTIF(Table14623576[[#This Row],[Phrases H]],"*H373*"), 5, TRUE, "")</f>
        <v/>
      </c>
      <c r="AR9" s="30" t="str" cm="1">
        <f t="array" ref="AR9">_xlfn.IFS(COUNTIF(Table14623576[[#This Row],[Phrases H]],"*H411*"), 5, TRUE, "")</f>
        <v/>
      </c>
      <c r="AS9" s="112">
        <f t="shared" si="12"/>
        <v>20</v>
      </c>
      <c r="AT9" s="129">
        <v>4.3747483459999996</v>
      </c>
      <c r="AU9" s="113">
        <v>7.2000000000000005E-4</v>
      </c>
      <c r="AV9" s="114">
        <f t="shared" si="0"/>
        <v>10</v>
      </c>
      <c r="AW9" s="115" t="str">
        <f t="shared" si="1"/>
        <v>0</v>
      </c>
      <c r="AX9" s="116">
        <f t="shared" si="2"/>
        <v>20</v>
      </c>
      <c r="AY9" s="117">
        <f t="shared" si="13"/>
        <v>0.23529411764705882</v>
      </c>
      <c r="AZ9" s="118" t="str">
        <f t="shared" si="14"/>
        <v>4</v>
      </c>
      <c r="BA9" s="119" t="str">
        <f t="shared" si="3"/>
        <v>4</v>
      </c>
      <c r="BB9" s="32"/>
      <c r="BC9" s="113">
        <v>100000</v>
      </c>
      <c r="BD9" s="113" t="s">
        <v>97</v>
      </c>
      <c r="BE9" s="120">
        <f t="shared" ref="BE9:BE11" si="19">IF(BC9="N/A",0,IF(BC9&lt;=10,5,IF(BC9&lt;=100,10,IF(BC9&lt;=1000,15,IF(BC9&lt;=10000,20,25)))))</f>
        <v>25</v>
      </c>
      <c r="BF9" s="121" t="str">
        <f t="shared" si="16"/>
        <v>Production très élevée</v>
      </c>
      <c r="BG9" s="122" t="str">
        <f t="shared" si="17"/>
        <v>A</v>
      </c>
      <c r="BH9" s="32"/>
      <c r="BI9" s="123" t="s">
        <v>98</v>
      </c>
      <c r="BJ9" s="124">
        <v>1</v>
      </c>
      <c r="BK9" s="123"/>
      <c r="BL9" s="131">
        <v>0</v>
      </c>
      <c r="BM9" s="132" t="s">
        <v>99</v>
      </c>
      <c r="BN9"/>
      <c r="BO9" s="60" t="str">
        <f t="shared" si="18"/>
        <v>Catégorie 4A NON</v>
      </c>
      <c r="BP9"/>
      <c r="BQ9" s="42" t="s">
        <v>164</v>
      </c>
      <c r="BR9"/>
      <c r="BS9" s="187" t="str">
        <f t="shared" si="4"/>
        <v/>
      </c>
      <c r="BT9" s="19" t="str">
        <f t="shared" si="5"/>
        <v/>
      </c>
      <c r="BU9" s="19" t="str">
        <f t="shared" si="6"/>
        <v/>
      </c>
      <c r="BV9" s="10"/>
      <c r="BW9" s="5" t="str">
        <f t="shared" si="7"/>
        <v/>
      </c>
      <c r="BX9" s="5" t="str">
        <f t="shared" si="8"/>
        <v/>
      </c>
      <c r="BY9"/>
      <c r="BZ9" s="5" t="str">
        <f t="shared" si="9"/>
        <v/>
      </c>
      <c r="CA9" s="5" t="str">
        <f t="shared" si="10"/>
        <v/>
      </c>
      <c r="CB9" s="188" t="str">
        <f t="shared" si="11"/>
        <v/>
      </c>
    </row>
    <row r="10" spans="1:80" s="27" customFormat="1" ht="49.4" customHeight="1" x14ac:dyDescent="0.55000000000000004">
      <c r="A10" s="104">
        <v>6</v>
      </c>
      <c r="B10" s="104" t="s">
        <v>75</v>
      </c>
      <c r="C10" s="111" t="s">
        <v>165</v>
      </c>
      <c r="D10" s="104" t="s">
        <v>166</v>
      </c>
      <c r="E10" s="104" t="s">
        <v>167</v>
      </c>
      <c r="F10" s="104" t="s">
        <v>168</v>
      </c>
      <c r="G10" s="104" t="s">
        <v>169</v>
      </c>
      <c r="H10" s="104" t="s">
        <v>170</v>
      </c>
      <c r="I10" s="104" t="s">
        <v>82</v>
      </c>
      <c r="J10" s="104" t="s">
        <v>83</v>
      </c>
      <c r="K10" s="104" t="s">
        <v>171</v>
      </c>
      <c r="L10" s="104"/>
      <c r="M10" s="104"/>
      <c r="N10" s="104"/>
      <c r="O10" s="104" t="s">
        <v>85</v>
      </c>
      <c r="P10" s="104"/>
      <c r="Q10" s="102"/>
      <c r="R10" s="104"/>
      <c r="S10" s="104" t="s">
        <v>88</v>
      </c>
      <c r="T10" s="104"/>
      <c r="U10" s="104" t="s">
        <v>172</v>
      </c>
      <c r="V10" s="104" t="s">
        <v>173</v>
      </c>
      <c r="W10" s="104" t="s">
        <v>174</v>
      </c>
      <c r="X10" s="104" t="s">
        <v>175</v>
      </c>
      <c r="Y10" s="104" t="s">
        <v>176</v>
      </c>
      <c r="Z10" s="104" t="s">
        <v>177</v>
      </c>
      <c r="AA10" s="104" t="s">
        <v>93</v>
      </c>
      <c r="AB10" s="128">
        <f>LOG(39.8)</f>
        <v>1.5998830720736879</v>
      </c>
      <c r="AC10" s="104" t="s">
        <v>178</v>
      </c>
      <c r="AD10" s="104" t="s">
        <v>179</v>
      </c>
      <c r="AE10"/>
      <c r="AF10" s="30" t="str" cm="1">
        <f t="array" ref="AF10">_xlfn.IFS(COUNTIF(Table14623576[[#This Row],[PBT/ vPvB]],"*X*"), 20, TRUE, "")</f>
        <v/>
      </c>
      <c r="AG10" s="30" t="str" cm="1">
        <f t="array" ref="AG10">_xlfn.IFS(COUNTIF(Table14623576[[#This Row],[Perturbateur Endocrinien]],"*X*"), 20, TRUE, "")</f>
        <v/>
      </c>
      <c r="AH10" s="30" cm="1">
        <f t="array" ref="AH10">_xlfn.IFS(COUNTIF(Table14623576[[#This Row],[Phrases H]],"*H350*"), 20, TRUE, "")</f>
        <v>20</v>
      </c>
      <c r="AI10" s="30" t="str" cm="1">
        <f t="array" ref="AI10">_xlfn.IFS(COUNTIF(Table14623576[[#This Row],[Phrases H]],"*H360*"), 20, TRUE, "")</f>
        <v/>
      </c>
      <c r="AJ10" s="30" t="str" cm="1">
        <f t="array" ref="AJ10">_xlfn.IFS(COUNTIF(Table14623576[[#This Row],[Phrases H]],"*H340*"), 20, TRUE, "")</f>
        <v/>
      </c>
      <c r="AK10" s="30" t="str" cm="1">
        <f t="array" ref="AK10">_xlfn.IFS(COUNTIF(Table14623576[[#This Row],[Phrases H]],"*H351*"), 10, TRUE, "")</f>
        <v/>
      </c>
      <c r="AL10" s="30" cm="1">
        <f t="array" ref="AL10">_xlfn.IFS(COUNTIF(Table14623576[[#This Row],[Phrases H]],"*H361*"), 10, TRUE, "")</f>
        <v>10</v>
      </c>
      <c r="AM10" s="30" t="str" cm="1">
        <f t="array" ref="AM10">_xlfn.IFS(COUNTIF(Table14623576[[#This Row],[Phrases H]],"*H362*"), 10, TRUE, "")</f>
        <v/>
      </c>
      <c r="AN10" s="30" t="str" cm="1">
        <f t="array" ref="AN10">_xlfn.IFS(COUNTIF(Table14623576[[#This Row],[Phrases H]],"*H341*"), 10, TRUE, "")</f>
        <v/>
      </c>
      <c r="AO10" s="30" t="str" cm="1">
        <f t="array" ref="AO10">_xlfn.IFS(COUNTIF(Table14623576[[#This Row],[Phrases H]],"*H372*"), 10, TRUE, "")</f>
        <v/>
      </c>
      <c r="AP10" s="30" t="str" cm="1">
        <f t="array" ref="AP10">_xlfn.IFS(COUNTIF(Table14623576[[#This Row],[Phrases H]],"*H410*"), 10, TRUE, "")</f>
        <v/>
      </c>
      <c r="AQ10" s="30" t="str" cm="1">
        <f t="array" ref="AQ10">_xlfn.IFS(COUNTIF(Table14623576[[#This Row],[Phrases H]],"*H373*"), 5, TRUE, "")</f>
        <v/>
      </c>
      <c r="AR10" s="30" t="str" cm="1">
        <f t="array" ref="AR10">_xlfn.IFS(COUNTIF(Table14623576[[#This Row],[Phrases H]],"*H411*"), 5, TRUE, "")</f>
        <v/>
      </c>
      <c r="AS10" s="112">
        <f t="shared" si="12"/>
        <v>30</v>
      </c>
      <c r="AT10" s="129">
        <f>LOG(39.8)</f>
        <v>1.5998830720736879</v>
      </c>
      <c r="AU10" s="113">
        <v>52000</v>
      </c>
      <c r="AV10" s="114">
        <f t="shared" si="0"/>
        <v>40</v>
      </c>
      <c r="AW10" s="115" t="str">
        <f t="shared" si="1"/>
        <v>20</v>
      </c>
      <c r="AX10" s="116">
        <f t="shared" si="2"/>
        <v>50</v>
      </c>
      <c r="AY10" s="117">
        <f t="shared" si="13"/>
        <v>0.58823529411764708</v>
      </c>
      <c r="AZ10" s="118" t="str">
        <f t="shared" si="14"/>
        <v>3</v>
      </c>
      <c r="BA10" s="119" t="str">
        <f t="shared" si="3"/>
        <v>3</v>
      </c>
      <c r="BB10" s="32"/>
      <c r="BC10" s="113"/>
      <c r="BD10" s="113" t="s">
        <v>97</v>
      </c>
      <c r="BE10" s="120">
        <f t="shared" si="19"/>
        <v>5</v>
      </c>
      <c r="BF10" s="121" t="str">
        <f t="shared" si="16"/>
        <v>Très faible production</v>
      </c>
      <c r="BG10" s="122" t="str">
        <f t="shared" si="17"/>
        <v>E</v>
      </c>
      <c r="BH10" s="32"/>
      <c r="BI10" s="7"/>
      <c r="BJ10" s="130">
        <v>0</v>
      </c>
      <c r="BK10" s="7"/>
      <c r="BL10" s="131">
        <v>0</v>
      </c>
      <c r="BM10" s="132" t="s">
        <v>99</v>
      </c>
      <c r="BN10"/>
      <c r="BO10" s="60" t="str">
        <f t="shared" si="18"/>
        <v>Catégorie 3E NON</v>
      </c>
      <c r="BP10"/>
      <c r="BQ10" s="42" t="s">
        <v>88</v>
      </c>
      <c r="BR10"/>
      <c r="BS10" s="187" t="str">
        <f t="shared" si="4"/>
        <v>X</v>
      </c>
      <c r="BT10" s="19" t="str">
        <f t="shared" si="5"/>
        <v>X</v>
      </c>
      <c r="BU10" s="19" t="str">
        <f t="shared" si="6"/>
        <v/>
      </c>
      <c r="BV10" s="10"/>
      <c r="BW10" s="5" t="str">
        <f t="shared" si="7"/>
        <v>X</v>
      </c>
      <c r="BX10" s="5" t="str">
        <f t="shared" si="8"/>
        <v/>
      </c>
      <c r="BY10"/>
      <c r="BZ10" s="5" t="str">
        <f t="shared" si="9"/>
        <v/>
      </c>
      <c r="CA10" s="5" t="str">
        <f t="shared" si="10"/>
        <v/>
      </c>
      <c r="CB10" s="188" t="str">
        <f t="shared" si="11"/>
        <v/>
      </c>
    </row>
    <row r="11" spans="1:80" s="27" customFormat="1" ht="43.4" customHeight="1" x14ac:dyDescent="0.55000000000000004">
      <c r="A11" s="104">
        <v>7</v>
      </c>
      <c r="B11" s="104" t="s">
        <v>75</v>
      </c>
      <c r="C11" s="111" t="s">
        <v>180</v>
      </c>
      <c r="D11" s="104" t="s">
        <v>181</v>
      </c>
      <c r="E11" s="104" t="s">
        <v>182</v>
      </c>
      <c r="F11" s="104" t="s">
        <v>183</v>
      </c>
      <c r="G11" s="104" t="s">
        <v>184</v>
      </c>
      <c r="H11" s="104" t="s">
        <v>185</v>
      </c>
      <c r="I11" s="104" t="s">
        <v>82</v>
      </c>
      <c r="J11" s="104" t="s">
        <v>83</v>
      </c>
      <c r="K11" s="104" t="s">
        <v>186</v>
      </c>
      <c r="L11" s="104"/>
      <c r="M11" s="104"/>
      <c r="N11" s="104"/>
      <c r="O11" s="104" t="s">
        <v>85</v>
      </c>
      <c r="P11" s="104"/>
      <c r="Q11" s="102"/>
      <c r="R11" s="104"/>
      <c r="S11" s="104" t="s">
        <v>187</v>
      </c>
      <c r="T11" s="104"/>
      <c r="U11" s="104" t="s">
        <v>188</v>
      </c>
      <c r="V11" s="104" t="s">
        <v>173</v>
      </c>
      <c r="W11" s="104" t="s">
        <v>189</v>
      </c>
      <c r="X11" s="104" t="s">
        <v>190</v>
      </c>
      <c r="Y11" s="104" t="s">
        <v>191</v>
      </c>
      <c r="Z11" s="104" t="s">
        <v>192</v>
      </c>
      <c r="AA11" s="104" t="s">
        <v>93</v>
      </c>
      <c r="AB11" s="128">
        <f>LOG(17.8)</f>
        <v>1.2504200023088941</v>
      </c>
      <c r="AC11" s="104" t="s">
        <v>193</v>
      </c>
      <c r="AD11" s="104" t="s">
        <v>194</v>
      </c>
      <c r="AE11"/>
      <c r="AF11" s="30" t="str" cm="1">
        <f t="array" ref="AF11">_xlfn.IFS(COUNTIF(Table14623576[[#This Row],[PBT/ vPvB]],"*X*"), 20, TRUE, "")</f>
        <v/>
      </c>
      <c r="AG11" s="30" t="str" cm="1">
        <f t="array" ref="AG11">_xlfn.IFS(COUNTIF(Table14623576[[#This Row],[Perturbateur Endocrinien]],"*X*"), 20, TRUE, "")</f>
        <v/>
      </c>
      <c r="AH11" s="30" cm="1">
        <f t="array" ref="AH11">_xlfn.IFS(COUNTIF(Table14623576[[#This Row],[Phrases H]],"*H350*"), 20, TRUE, "")</f>
        <v>20</v>
      </c>
      <c r="AI11" s="30" t="str" cm="1">
        <f t="array" ref="AI11">_xlfn.IFS(COUNTIF(Table14623576[[#This Row],[Phrases H]],"*H360*"), 20, TRUE, "")</f>
        <v/>
      </c>
      <c r="AJ11" s="30" cm="1">
        <f t="array" ref="AJ11">_xlfn.IFS(COUNTIF(Table14623576[[#This Row],[Phrases H]],"*H340*"), 20, TRUE, "")</f>
        <v>20</v>
      </c>
      <c r="AK11" s="30" t="str" cm="1">
        <f t="array" ref="AK11">_xlfn.IFS(COUNTIF(Table14623576[[#This Row],[Phrases H]],"*H351*"), 10, TRUE, "")</f>
        <v/>
      </c>
      <c r="AL11" s="30" t="str" cm="1">
        <f t="array" ref="AL11">_xlfn.IFS(COUNTIF(Table14623576[[#This Row],[Phrases H]],"*H361*"), 10, TRUE, "")</f>
        <v/>
      </c>
      <c r="AM11" s="30" t="str" cm="1">
        <f t="array" ref="AM11">_xlfn.IFS(COUNTIF(Table14623576[[#This Row],[Phrases H]],"*H362*"), 10, TRUE, "")</f>
        <v/>
      </c>
      <c r="AN11" s="30" t="str" cm="1">
        <f t="array" ref="AN11">_xlfn.IFS(COUNTIF(Table14623576[[#This Row],[Phrases H]],"*H341*"), 10, TRUE, "")</f>
        <v/>
      </c>
      <c r="AO11" s="30" t="str" cm="1">
        <f t="array" ref="AO11">_xlfn.IFS(COUNTIF(Table14623576[[#This Row],[Phrases H]],"*H372*"), 10, TRUE, "")</f>
        <v/>
      </c>
      <c r="AP11" s="30" t="str" cm="1">
        <f t="array" ref="AP11">_xlfn.IFS(COUNTIF(Table14623576[[#This Row],[Phrases H]],"*H410*"), 10, TRUE, "")</f>
        <v/>
      </c>
      <c r="AQ11" s="30" t="str" cm="1">
        <f t="array" ref="AQ11">_xlfn.IFS(COUNTIF(Table14623576[[#This Row],[Phrases H]],"*H373*"), 5, TRUE, "")</f>
        <v/>
      </c>
      <c r="AR11" s="30" t="str" cm="1">
        <f t="array" ref="AR11">_xlfn.IFS(COUNTIF(Table14623576[[#This Row],[Phrases H]],"*H411*"), 5, TRUE, "")</f>
        <v/>
      </c>
      <c r="AS11" s="112">
        <f t="shared" si="12"/>
        <v>40</v>
      </c>
      <c r="AT11" s="129">
        <f>LOG(17.8)</f>
        <v>1.2504200023088941</v>
      </c>
      <c r="AU11" s="113">
        <v>1000</v>
      </c>
      <c r="AV11" s="114">
        <f t="shared" si="0"/>
        <v>40</v>
      </c>
      <c r="AW11" s="115" t="str">
        <f t="shared" si="1"/>
        <v>20</v>
      </c>
      <c r="AX11" s="116">
        <f t="shared" si="2"/>
        <v>60</v>
      </c>
      <c r="AY11" s="117">
        <f t="shared" si="13"/>
        <v>0.70588235294117652</v>
      </c>
      <c r="AZ11" s="118" t="str">
        <f t="shared" si="14"/>
        <v>2</v>
      </c>
      <c r="BA11" s="119" t="str">
        <f t="shared" si="3"/>
        <v>2</v>
      </c>
      <c r="BB11" s="32"/>
      <c r="BC11" s="113">
        <v>10</v>
      </c>
      <c r="BD11" s="113" t="s">
        <v>97</v>
      </c>
      <c r="BE11" s="120">
        <f t="shared" si="19"/>
        <v>5</v>
      </c>
      <c r="BF11" s="121" t="str">
        <f t="shared" si="16"/>
        <v>Très faible production</v>
      </c>
      <c r="BG11" s="122" t="str">
        <f t="shared" si="17"/>
        <v>E</v>
      </c>
      <c r="BH11" s="32"/>
      <c r="BI11" s="7"/>
      <c r="BJ11" s="133">
        <v>0</v>
      </c>
      <c r="BK11" s="7"/>
      <c r="BL11" s="131">
        <v>0</v>
      </c>
      <c r="BM11" s="119" t="s">
        <v>99</v>
      </c>
      <c r="BN11"/>
      <c r="BO11" s="60" t="str">
        <f t="shared" ref="BO11:BO51" si="20">_xlfn.CONCAT("Catégorie ", BA11,BG11,BM11)</f>
        <v>Catégorie 2ENON</v>
      </c>
      <c r="BP11"/>
      <c r="BQ11" s="42" t="s">
        <v>88</v>
      </c>
      <c r="BR11"/>
      <c r="BS11" s="187" t="str">
        <f t="shared" si="4"/>
        <v>X</v>
      </c>
      <c r="BT11" s="19" t="str">
        <f t="shared" si="5"/>
        <v>X</v>
      </c>
      <c r="BU11" s="19" t="str">
        <f t="shared" si="6"/>
        <v>X</v>
      </c>
      <c r="BV11" s="10"/>
      <c r="BW11" s="5" t="str">
        <f t="shared" si="7"/>
        <v>X</v>
      </c>
      <c r="BX11" s="5" t="str">
        <f t="shared" si="8"/>
        <v/>
      </c>
      <c r="BY11"/>
      <c r="BZ11" s="5" t="str">
        <f t="shared" si="9"/>
        <v/>
      </c>
      <c r="CA11" s="5" t="str">
        <f t="shared" si="10"/>
        <v/>
      </c>
      <c r="CB11" s="188" t="str">
        <f t="shared" si="11"/>
        <v/>
      </c>
    </row>
    <row r="12" spans="1:80" s="27" customFormat="1" ht="54.65" customHeight="1" x14ac:dyDescent="0.55000000000000004">
      <c r="A12" s="104">
        <v>8</v>
      </c>
      <c r="B12" s="104" t="s">
        <v>75</v>
      </c>
      <c r="C12" s="111" t="s">
        <v>195</v>
      </c>
      <c r="D12" s="104" t="s">
        <v>196</v>
      </c>
      <c r="E12" s="104" t="s">
        <v>197</v>
      </c>
      <c r="F12" s="104" t="s">
        <v>198</v>
      </c>
      <c r="G12" s="104" t="s">
        <v>199</v>
      </c>
      <c r="H12" s="104" t="s">
        <v>200</v>
      </c>
      <c r="I12" s="104" t="s">
        <v>82</v>
      </c>
      <c r="J12" s="104" t="s">
        <v>83</v>
      </c>
      <c r="K12" s="104" t="s">
        <v>88</v>
      </c>
      <c r="L12" s="104" t="s">
        <v>85</v>
      </c>
      <c r="M12" s="104"/>
      <c r="N12" s="104" t="s">
        <v>85</v>
      </c>
      <c r="O12" s="104" t="s">
        <v>85</v>
      </c>
      <c r="P12" s="104"/>
      <c r="Q12" s="102"/>
      <c r="R12" s="104" t="s">
        <v>85</v>
      </c>
      <c r="S12" s="104" t="s">
        <v>88</v>
      </c>
      <c r="T12" s="104"/>
      <c r="U12" s="104" t="s">
        <v>201</v>
      </c>
      <c r="V12" s="104" t="s">
        <v>88</v>
      </c>
      <c r="W12" s="104" t="s">
        <v>202</v>
      </c>
      <c r="X12" s="104" t="s">
        <v>203</v>
      </c>
      <c r="Y12" s="104" t="s">
        <v>204</v>
      </c>
      <c r="Z12" s="104" t="s">
        <v>205</v>
      </c>
      <c r="AA12" s="104">
        <v>25</v>
      </c>
      <c r="AB12" s="128">
        <f>LOG(2610000)</f>
        <v>6.4166405073382808</v>
      </c>
      <c r="AC12" s="104" t="s">
        <v>206</v>
      </c>
      <c r="AD12" s="104" t="s">
        <v>207</v>
      </c>
      <c r="AE12"/>
      <c r="AF12" s="30" cm="1">
        <f t="array" ref="AF12">_xlfn.IFS(COUNTIF(Table14623576[[#This Row],[PBT/ vPvB]],"*X*"), 20, TRUE, "")</f>
        <v>20</v>
      </c>
      <c r="AG12" s="30" t="str" cm="1">
        <f t="array" ref="AG12">_xlfn.IFS(COUNTIF(Table14623576[[#This Row],[Perturbateur Endocrinien]],"*X*"), 20, TRUE, "")</f>
        <v/>
      </c>
      <c r="AH12" s="30" t="str" cm="1">
        <f t="array" ref="AH12">_xlfn.IFS(COUNTIF(Table14623576[[#This Row],[Phrases H]],"*H350*"), 20, TRUE, "")</f>
        <v/>
      </c>
      <c r="AI12" s="30" t="str" cm="1">
        <f t="array" ref="AI12">_xlfn.IFS(COUNTIF(Table14623576[[#This Row],[Phrases H]],"*H360*"), 20, TRUE, "")</f>
        <v/>
      </c>
      <c r="AJ12" s="30" t="str" cm="1">
        <f t="array" ref="AJ12">_xlfn.IFS(COUNTIF(Table14623576[[#This Row],[Phrases H]],"*H340*"), 20, TRUE, "")</f>
        <v/>
      </c>
      <c r="AK12" s="30" t="str" cm="1">
        <f t="array" ref="AK12">_xlfn.IFS(COUNTIF(Table14623576[[#This Row],[Phrases H]],"*H351*"), 10, TRUE, "")</f>
        <v/>
      </c>
      <c r="AL12" s="30" cm="1">
        <f t="array" ref="AL12">_xlfn.IFS(COUNTIF(Table14623576[[#This Row],[Phrases H]],"*H361*"), 10, TRUE, "")</f>
        <v>10</v>
      </c>
      <c r="AM12" s="30"/>
      <c r="AN12" s="30" t="str" cm="1">
        <f t="array" ref="AN12">_xlfn.IFS(COUNTIF(Table14623576[[#This Row],[Phrases H]],"*H341*"), 10, TRUE, "")</f>
        <v/>
      </c>
      <c r="AO12" s="30" t="str" cm="1">
        <f t="array" ref="AO12">_xlfn.IFS(COUNTIF(Table14623576[[#This Row],[Phrases H]],"*H372*"), 10, TRUE, "")</f>
        <v/>
      </c>
      <c r="AP12" s="30" cm="1">
        <f t="array" ref="AP12">_xlfn.IFS(COUNTIF(Table14623576[[#This Row],[Phrases H]],"*H410*"), 10, TRUE, "")</f>
        <v>10</v>
      </c>
      <c r="AQ12" s="30" t="str" cm="1">
        <f t="array" ref="AQ12">_xlfn.IFS(COUNTIF(Table14623576[[#This Row],[Phrases H]],"*H373*"), 5, TRUE, "")</f>
        <v/>
      </c>
      <c r="AR12" s="30" t="str" cm="1">
        <f t="array" ref="AR12">_xlfn.IFS(COUNTIF(Table14623576[[#This Row],[Phrases H]],"*H411*"), 5, TRUE, "")</f>
        <v/>
      </c>
      <c r="AS12" s="112">
        <f t="shared" si="12"/>
        <v>40</v>
      </c>
      <c r="AT12" s="129">
        <f>LOG(2610000)</f>
        <v>6.4166405073382808</v>
      </c>
      <c r="AU12" s="113">
        <v>6.5600000000000006E-2</v>
      </c>
      <c r="AV12" s="114">
        <f t="shared" si="0"/>
        <v>10</v>
      </c>
      <c r="AW12" s="115" t="str">
        <f t="shared" si="1"/>
        <v>0</v>
      </c>
      <c r="AX12" s="116">
        <f t="shared" si="2"/>
        <v>40</v>
      </c>
      <c r="AY12" s="117">
        <f t="shared" si="13"/>
        <v>0.47058823529411764</v>
      </c>
      <c r="AZ12" s="118" t="str">
        <f t="shared" si="14"/>
        <v>3</v>
      </c>
      <c r="BA12" s="119" t="str">
        <f t="shared" si="3"/>
        <v>3</v>
      </c>
      <c r="BB12" s="32"/>
      <c r="BC12" s="113" t="s">
        <v>88</v>
      </c>
      <c r="BD12" s="113" t="s">
        <v>97</v>
      </c>
      <c r="BE12" s="120">
        <f>IF(BC12="N/A",0,IF(BC12&lt;=10,5,IF(BC12&lt;=100,10,IF(BC12&lt;=1000,15,IF(BC12&lt;=10000,20,25)))))</f>
        <v>0</v>
      </c>
      <c r="BF12" s="121" t="str">
        <f t="shared" si="16"/>
        <v>N/A</v>
      </c>
      <c r="BG12" s="122" t="str">
        <f t="shared" si="17"/>
        <v>E</v>
      </c>
      <c r="BH12" s="32"/>
      <c r="BI12" s="7"/>
      <c r="BJ12" s="130">
        <v>0</v>
      </c>
      <c r="BK12" s="7"/>
      <c r="BL12" s="131">
        <v>0</v>
      </c>
      <c r="BM12" s="132" t="s">
        <v>99</v>
      </c>
      <c r="BN12"/>
      <c r="BO12" s="60" t="str">
        <f t="shared" ref="BO12:BO18" si="21">_xlfn.CONCAT("Catégorie ", BA12,BG12," ",BM12)</f>
        <v>Catégorie 3E NON</v>
      </c>
      <c r="BP12"/>
      <c r="BQ12" s="42" t="s">
        <v>88</v>
      </c>
      <c r="BR12"/>
      <c r="BS12" s="187" t="str">
        <f t="shared" si="4"/>
        <v>X</v>
      </c>
      <c r="BT12" s="19" t="str">
        <f t="shared" si="5"/>
        <v/>
      </c>
      <c r="BU12" s="19" t="str">
        <f t="shared" si="6"/>
        <v/>
      </c>
      <c r="BV12" s="10"/>
      <c r="BW12" s="5" t="str">
        <f t="shared" si="7"/>
        <v>X</v>
      </c>
      <c r="BX12" s="5" t="str">
        <f t="shared" si="8"/>
        <v/>
      </c>
      <c r="BY12"/>
      <c r="BZ12" s="5" t="str">
        <f t="shared" si="9"/>
        <v/>
      </c>
      <c r="CA12" s="5" t="str">
        <f t="shared" si="10"/>
        <v/>
      </c>
      <c r="CB12" s="188" t="str">
        <f t="shared" si="11"/>
        <v/>
      </c>
    </row>
    <row r="13" spans="1:80" s="27" customFormat="1" ht="41.5" customHeight="1" x14ac:dyDescent="0.55000000000000004">
      <c r="A13" s="104">
        <v>9</v>
      </c>
      <c r="B13" s="104" t="s">
        <v>75</v>
      </c>
      <c r="C13" s="111" t="s">
        <v>208</v>
      </c>
      <c r="D13" s="104" t="s">
        <v>209</v>
      </c>
      <c r="E13" s="104" t="s">
        <v>210</v>
      </c>
      <c r="F13" s="104" t="s">
        <v>211</v>
      </c>
      <c r="G13" s="104" t="s">
        <v>212</v>
      </c>
      <c r="H13" s="104" t="s">
        <v>213</v>
      </c>
      <c r="I13" s="104" t="s">
        <v>82</v>
      </c>
      <c r="J13" s="104" t="s">
        <v>83</v>
      </c>
      <c r="K13" s="104" t="s">
        <v>214</v>
      </c>
      <c r="L13" s="104" t="s">
        <v>85</v>
      </c>
      <c r="M13" s="104" t="s">
        <v>85</v>
      </c>
      <c r="N13" s="104" t="s">
        <v>85</v>
      </c>
      <c r="O13" s="104" t="s">
        <v>85</v>
      </c>
      <c r="P13" s="104"/>
      <c r="Q13" s="102"/>
      <c r="R13" s="104" t="s">
        <v>85</v>
      </c>
      <c r="S13" s="104" t="s">
        <v>187</v>
      </c>
      <c r="T13" s="104"/>
      <c r="U13" s="104" t="s">
        <v>63</v>
      </c>
      <c r="V13" s="104" t="s">
        <v>88</v>
      </c>
      <c r="W13" s="104" t="s">
        <v>215</v>
      </c>
      <c r="X13" s="104" t="s">
        <v>124</v>
      </c>
      <c r="Y13" s="104" t="s">
        <v>216</v>
      </c>
      <c r="Z13" s="104" t="s">
        <v>217</v>
      </c>
      <c r="AA13" s="104">
        <v>25</v>
      </c>
      <c r="AB13" s="104" t="s">
        <v>218</v>
      </c>
      <c r="AC13" s="104" t="s">
        <v>93</v>
      </c>
      <c r="AD13" s="104" t="s">
        <v>219</v>
      </c>
      <c r="AE13"/>
      <c r="AF13" s="30" cm="1">
        <f t="array" ref="AF13">_xlfn.IFS(COUNTIF(Table14623576[[#This Row],[PBT/ vPvB]],"*X*"), 20, TRUE, "")</f>
        <v>20</v>
      </c>
      <c r="AG13" s="30" t="str" cm="1">
        <f t="array" ref="AG13">_xlfn.IFS(COUNTIF(Table14623576[[#This Row],[Perturbateur Endocrinien]],"*X*"), 20, TRUE, "")</f>
        <v/>
      </c>
      <c r="AH13" s="30" t="str" cm="1">
        <f t="array" ref="AH13">_xlfn.IFS(COUNTIF(Table14623576[[#This Row],[Phrases H]],"*H350*"), 20, TRUE, "")</f>
        <v/>
      </c>
      <c r="AI13" s="30" t="str" cm="1">
        <f t="array" ref="AI13">_xlfn.IFS(COUNTIF(Table14623576[[#This Row],[Phrases H]],"*H360*"), 20, TRUE, "")</f>
        <v/>
      </c>
      <c r="AJ13" s="30" t="str" cm="1">
        <f t="array" ref="AJ13">_xlfn.IFS(COUNTIF(Table14623576[[#This Row],[Phrases H]],"*H340*"), 20, TRUE, "")</f>
        <v/>
      </c>
      <c r="AK13" s="30" t="str" cm="1">
        <f t="array" ref="AK13">_xlfn.IFS(COUNTIF(Table14623576[[#This Row],[Phrases H]],"*H351*"), 10, TRUE, "")</f>
        <v/>
      </c>
      <c r="AL13" s="30" t="str" cm="1">
        <f t="array" ref="AL13">_xlfn.IFS(COUNTIF(Table14623576[[#This Row],[Phrases H]],"*H361*"), 10, TRUE, "")</f>
        <v/>
      </c>
      <c r="AM13" s="30" t="str" cm="1">
        <f t="array" ref="AM13">_xlfn.IFS(COUNTIF(Table14623576[[#This Row],[Phrases H]],"*H362*"), 10, TRUE, "")</f>
        <v/>
      </c>
      <c r="AN13" s="30" t="str" cm="1">
        <f t="array" ref="AN13">_xlfn.IFS(COUNTIF(Table14623576[[#This Row],[Phrases H]],"*H341*"), 10, TRUE, "")</f>
        <v/>
      </c>
      <c r="AO13" s="30" t="str" cm="1">
        <f t="array" ref="AO13">_xlfn.IFS(COUNTIF(Table14623576[[#This Row],[Phrases H]],"*H372*"), 10, TRUE, "")</f>
        <v/>
      </c>
      <c r="AP13" s="30" cm="1">
        <f t="array" ref="AP13">_xlfn.IFS(COUNTIF(Table14623576[[#This Row],[Phrases H]],"*H410*"), 10, TRUE, "")</f>
        <v>10</v>
      </c>
      <c r="AQ13" s="30" t="str" cm="1">
        <f t="array" ref="AQ13">_xlfn.IFS(COUNTIF(Table14623576[[#This Row],[Phrases H]],"*H373*"), 5, TRUE, "")</f>
        <v/>
      </c>
      <c r="AR13" s="30" t="str" cm="1">
        <f t="array" ref="AR13">_xlfn.IFS(COUNTIF(Table14623576[[#This Row],[Phrases H]],"*H411*"), 5, TRUE, "")</f>
        <v/>
      </c>
      <c r="AS13" s="112">
        <f t="shared" si="12"/>
        <v>30</v>
      </c>
      <c r="AT13" s="113" t="s">
        <v>218</v>
      </c>
      <c r="AU13" s="113">
        <v>6.5600000000000006E-2</v>
      </c>
      <c r="AV13" s="114">
        <f t="shared" si="0"/>
        <v>10</v>
      </c>
      <c r="AW13" s="115" t="str">
        <f t="shared" si="1"/>
        <v>0</v>
      </c>
      <c r="AX13" s="116">
        <f t="shared" si="2"/>
        <v>30</v>
      </c>
      <c r="AY13" s="117">
        <f t="shared" si="13"/>
        <v>0.35294117647058826</v>
      </c>
      <c r="AZ13" s="118" t="str">
        <f t="shared" si="14"/>
        <v>4</v>
      </c>
      <c r="BA13" s="119" t="str">
        <f t="shared" si="3"/>
        <v>4</v>
      </c>
      <c r="BB13" s="32"/>
      <c r="BC13" s="113">
        <v>50000</v>
      </c>
      <c r="BD13" s="113" t="s">
        <v>97</v>
      </c>
      <c r="BE13" s="120">
        <f t="shared" ref="BE13:BE76" si="22">IF(BC13="N/A",0,IF(BC13&lt;=10,5,IF(BC13&lt;=100,10,IF(BC13&lt;=1000,15,IF(BC13&lt;=10000,20,25)))))</f>
        <v>25</v>
      </c>
      <c r="BF13" s="121" t="str">
        <f t="shared" si="16"/>
        <v>Production très élevée</v>
      </c>
      <c r="BG13" s="122" t="str">
        <f t="shared" si="17"/>
        <v>A</v>
      </c>
      <c r="BH13" s="32"/>
      <c r="BI13" s="123" t="s">
        <v>220</v>
      </c>
      <c r="BJ13" s="124">
        <v>3</v>
      </c>
      <c r="BK13" s="123" t="s">
        <v>221</v>
      </c>
      <c r="BL13" s="131">
        <v>2</v>
      </c>
      <c r="BM13" s="132" t="s">
        <v>131</v>
      </c>
      <c r="BN13"/>
      <c r="BO13" s="60" t="str">
        <f t="shared" si="21"/>
        <v>Catégorie 4A OUI</v>
      </c>
      <c r="BP13"/>
      <c r="BQ13" s="42" t="s">
        <v>132</v>
      </c>
      <c r="BR13"/>
      <c r="BS13" s="187" t="str">
        <f t="shared" si="4"/>
        <v/>
      </c>
      <c r="BT13" s="19" t="str">
        <f t="shared" si="5"/>
        <v/>
      </c>
      <c r="BU13" s="19" t="str">
        <f t="shared" si="6"/>
        <v/>
      </c>
      <c r="BV13" s="10"/>
      <c r="BW13" s="5" t="str">
        <f t="shared" si="7"/>
        <v/>
      </c>
      <c r="BX13" s="5" t="str">
        <f t="shared" si="8"/>
        <v>X</v>
      </c>
      <c r="BY13"/>
      <c r="BZ13" s="5" t="str">
        <f t="shared" si="9"/>
        <v>X</v>
      </c>
      <c r="CA13" s="5" t="str">
        <f t="shared" si="10"/>
        <v>X</v>
      </c>
      <c r="CB13" s="188" t="str">
        <f t="shared" si="11"/>
        <v>X</v>
      </c>
    </row>
    <row r="14" spans="1:80" s="27" customFormat="1" ht="46.4" customHeight="1" x14ac:dyDescent="0.55000000000000004">
      <c r="A14" s="104">
        <v>10</v>
      </c>
      <c r="B14" s="104" t="s">
        <v>75</v>
      </c>
      <c r="C14" s="111" t="s">
        <v>222</v>
      </c>
      <c r="D14" s="104" t="s">
        <v>223</v>
      </c>
      <c r="E14" s="104" t="s">
        <v>224</v>
      </c>
      <c r="F14" s="104" t="s">
        <v>225</v>
      </c>
      <c r="G14" s="104" t="s">
        <v>212</v>
      </c>
      <c r="H14" s="104" t="s">
        <v>200</v>
      </c>
      <c r="I14" s="104" t="s">
        <v>82</v>
      </c>
      <c r="J14" s="104" t="s">
        <v>83</v>
      </c>
      <c r="K14" s="104" t="s">
        <v>88</v>
      </c>
      <c r="L14" s="104" t="s">
        <v>85</v>
      </c>
      <c r="M14" s="104"/>
      <c r="N14" s="104"/>
      <c r="O14" s="104" t="s">
        <v>85</v>
      </c>
      <c r="P14" s="104"/>
      <c r="Q14" s="102"/>
      <c r="R14" s="104" t="s">
        <v>85</v>
      </c>
      <c r="S14" s="104" t="s">
        <v>88</v>
      </c>
      <c r="T14" s="104"/>
      <c r="U14" s="104" t="s">
        <v>88</v>
      </c>
      <c r="V14" s="104" t="s">
        <v>88</v>
      </c>
      <c r="W14" s="104" t="s">
        <v>226</v>
      </c>
      <c r="X14" s="104" t="s">
        <v>227</v>
      </c>
      <c r="Y14" s="104" t="s">
        <v>204</v>
      </c>
      <c r="Z14" s="104" t="s">
        <v>228</v>
      </c>
      <c r="AA14" s="104" t="s">
        <v>93</v>
      </c>
      <c r="AB14" s="128">
        <f>LOG(7590)</f>
        <v>3.8802417758954801</v>
      </c>
      <c r="AC14" s="104" t="s">
        <v>229</v>
      </c>
      <c r="AD14" s="104" t="s">
        <v>230</v>
      </c>
      <c r="AE14"/>
      <c r="AF14" s="30" cm="1">
        <f t="array" ref="AF14">_xlfn.IFS(COUNTIF(Table14623576[[#This Row],[PBT/ vPvB]],"*X*"), 20, TRUE, "")</f>
        <v>20</v>
      </c>
      <c r="AG14" s="30" t="str" cm="1">
        <f t="array" ref="AG14">_xlfn.IFS(COUNTIF(Table14623576[[#This Row],[Perturbateur Endocrinien]],"*X*"), 20, TRUE, "")</f>
        <v/>
      </c>
      <c r="AH14" s="30" t="str" cm="1">
        <f t="array" ref="AH14">_xlfn.IFS(COUNTIF(Table14623576[[#This Row],[Phrases H]],"*H350*"), 20, TRUE, "")</f>
        <v/>
      </c>
      <c r="AI14" s="30" t="str" cm="1">
        <f t="array" ref="AI14">_xlfn.IFS(COUNTIF(Table14623576[[#This Row],[Phrases H]],"*H360*"), 20, TRUE, "")</f>
        <v/>
      </c>
      <c r="AJ14" s="30" t="str" cm="1">
        <f t="array" ref="AJ14">_xlfn.IFS(COUNTIF(Table14623576[[#This Row],[Phrases H]],"*H340*"), 20, TRUE, "")</f>
        <v/>
      </c>
      <c r="AK14" s="30" t="str" cm="1">
        <f t="array" ref="AK14">_xlfn.IFS(COUNTIF(Table14623576[[#This Row],[Phrases H]],"*H351*"), 10, TRUE, "")</f>
        <v/>
      </c>
      <c r="AL14" s="30" t="str" cm="1">
        <f t="array" ref="AL14">_xlfn.IFS(COUNTIF(Table14623576[[#This Row],[Phrases H]],"*H361*"), 10, TRUE, "")</f>
        <v/>
      </c>
      <c r="AM14" s="30" t="str" cm="1">
        <f t="array" ref="AM14">_xlfn.IFS(COUNTIF(Table14623576[[#This Row],[Phrases H]],"*H362*"), 10, TRUE, "")</f>
        <v/>
      </c>
      <c r="AN14" s="30" t="str" cm="1">
        <f t="array" ref="AN14">_xlfn.IFS(COUNTIF(Table14623576[[#This Row],[Phrases H]],"*H341*"), 10, TRUE, "")</f>
        <v/>
      </c>
      <c r="AO14" s="30" t="str" cm="1">
        <f t="array" ref="AO14">_xlfn.IFS(COUNTIF(Table14623576[[#This Row],[Phrases H]],"*H372*"), 10, TRUE, "")</f>
        <v/>
      </c>
      <c r="AP14" s="30" t="str" cm="1">
        <f t="array" ref="AP14">_xlfn.IFS(COUNTIF(Table14623576[[#This Row],[Phrases H]],"*H410*"), 10, TRUE, "")</f>
        <v/>
      </c>
      <c r="AQ14" s="30" t="str" cm="1">
        <f t="array" ref="AQ14">_xlfn.IFS(COUNTIF(Table14623576[[#This Row],[Phrases H]],"*H373*"), 5, TRUE, "")</f>
        <v/>
      </c>
      <c r="AR14" s="30" t="str" cm="1">
        <f t="array" ref="AR14">_xlfn.IFS(COUNTIF(Table14623576[[#This Row],[Phrases H]],"*H411*"), 5, TRUE, "")</f>
        <v/>
      </c>
      <c r="AS14" s="112">
        <f t="shared" si="12"/>
        <v>20</v>
      </c>
      <c r="AT14" s="129">
        <f>LOG(7590)</f>
        <v>3.8802417758954801</v>
      </c>
      <c r="AU14" s="113">
        <v>0.1166734</v>
      </c>
      <c r="AV14" s="114">
        <f t="shared" si="0"/>
        <v>20</v>
      </c>
      <c r="AW14" s="115" t="str">
        <f t="shared" si="1"/>
        <v>0</v>
      </c>
      <c r="AX14" s="116">
        <f t="shared" si="2"/>
        <v>20</v>
      </c>
      <c r="AY14" s="117">
        <f t="shared" si="13"/>
        <v>0.23529411764705882</v>
      </c>
      <c r="AZ14" s="118" t="str">
        <f t="shared" si="14"/>
        <v>4</v>
      </c>
      <c r="BA14" s="119" t="str">
        <f t="shared" si="3"/>
        <v>4</v>
      </c>
      <c r="BB14" s="32"/>
      <c r="BC14" s="113" t="s">
        <v>88</v>
      </c>
      <c r="BD14" s="113" t="s">
        <v>97</v>
      </c>
      <c r="BE14" s="120">
        <f t="shared" si="22"/>
        <v>0</v>
      </c>
      <c r="BF14" s="121" t="str">
        <f t="shared" si="16"/>
        <v>N/A</v>
      </c>
      <c r="BG14" s="122" t="str">
        <f t="shared" si="17"/>
        <v>E</v>
      </c>
      <c r="BH14" s="32"/>
      <c r="BI14" s="7" t="s">
        <v>231</v>
      </c>
      <c r="BJ14" s="130">
        <v>1</v>
      </c>
      <c r="BK14" s="7" t="s">
        <v>231</v>
      </c>
      <c r="BL14" s="131">
        <v>1</v>
      </c>
      <c r="BM14" s="132" t="s">
        <v>131</v>
      </c>
      <c r="BN14"/>
      <c r="BO14" s="60" t="str">
        <f t="shared" si="21"/>
        <v>Catégorie 4E OUI</v>
      </c>
      <c r="BP14"/>
      <c r="BQ14" s="42" t="s">
        <v>150</v>
      </c>
      <c r="BR14"/>
      <c r="BS14" s="187" t="str">
        <f t="shared" si="4"/>
        <v/>
      </c>
      <c r="BT14" s="19" t="str">
        <f t="shared" si="5"/>
        <v/>
      </c>
      <c r="BU14" s="19" t="str">
        <f t="shared" si="6"/>
        <v/>
      </c>
      <c r="BV14" s="10"/>
      <c r="BW14" s="5" t="str">
        <f t="shared" si="7"/>
        <v>X</v>
      </c>
      <c r="BX14" s="5" t="str">
        <f t="shared" si="8"/>
        <v>X</v>
      </c>
      <c r="BY14"/>
      <c r="BZ14" s="5" t="str">
        <f t="shared" si="9"/>
        <v>X</v>
      </c>
      <c r="CA14" s="5" t="str">
        <f t="shared" si="10"/>
        <v>X</v>
      </c>
      <c r="CB14" s="188" t="str">
        <f t="shared" si="11"/>
        <v>X</v>
      </c>
    </row>
    <row r="15" spans="1:80" s="27" customFormat="1" ht="46.4" customHeight="1" x14ac:dyDescent="0.55000000000000004">
      <c r="A15" s="104">
        <v>11</v>
      </c>
      <c r="B15" s="104" t="s">
        <v>75</v>
      </c>
      <c r="C15" s="111" t="s">
        <v>232</v>
      </c>
      <c r="D15" s="104" t="s">
        <v>233</v>
      </c>
      <c r="E15" s="104" t="s">
        <v>234</v>
      </c>
      <c r="F15" s="104" t="s">
        <v>235</v>
      </c>
      <c r="G15" s="104" t="s">
        <v>212</v>
      </c>
      <c r="H15" s="104" t="s">
        <v>200</v>
      </c>
      <c r="I15" s="104" t="s">
        <v>82</v>
      </c>
      <c r="J15" s="104" t="s">
        <v>83</v>
      </c>
      <c r="K15" s="104" t="s">
        <v>88</v>
      </c>
      <c r="L15" s="104" t="s">
        <v>85</v>
      </c>
      <c r="M15" s="104"/>
      <c r="N15" s="104"/>
      <c r="O15" s="104" t="s">
        <v>85</v>
      </c>
      <c r="P15" s="104"/>
      <c r="Q15" s="102"/>
      <c r="R15" s="104" t="s">
        <v>85</v>
      </c>
      <c r="S15" s="104" t="s">
        <v>88</v>
      </c>
      <c r="T15" s="104"/>
      <c r="U15" s="104" t="s">
        <v>236</v>
      </c>
      <c r="V15" s="104" t="s">
        <v>88</v>
      </c>
      <c r="W15" s="104" t="s">
        <v>226</v>
      </c>
      <c r="X15" s="104" t="s">
        <v>227</v>
      </c>
      <c r="Y15" s="104" t="s">
        <v>204</v>
      </c>
      <c r="Z15" s="104" t="s">
        <v>228</v>
      </c>
      <c r="AA15" s="104" t="s">
        <v>93</v>
      </c>
      <c r="AB15" s="128">
        <f>LOG(7590)</f>
        <v>3.8802417758954801</v>
      </c>
      <c r="AC15" s="104" t="s">
        <v>229</v>
      </c>
      <c r="AD15" s="104" t="s">
        <v>230</v>
      </c>
      <c r="AE15"/>
      <c r="AF15" s="30" cm="1">
        <f t="array" ref="AF15">_xlfn.IFS(COUNTIF(Table14623576[[#This Row],[PBT/ vPvB]],"*X*"), 20, TRUE, "")</f>
        <v>20</v>
      </c>
      <c r="AG15" s="30" t="str" cm="1">
        <f t="array" ref="AG15">_xlfn.IFS(COUNTIF(Table14623576[[#This Row],[Perturbateur Endocrinien]],"*X*"), 20, TRUE, "")</f>
        <v/>
      </c>
      <c r="AH15" s="30" t="str" cm="1">
        <f t="array" ref="AH15">_xlfn.IFS(COUNTIF(Table14623576[[#This Row],[Phrases H]],"*H350*"), 20, TRUE, "")</f>
        <v/>
      </c>
      <c r="AI15" s="30" t="str" cm="1">
        <f t="array" ref="AI15">_xlfn.IFS(COUNTIF(Table14623576[[#This Row],[Phrases H]],"*H360*"), 20, TRUE, "")</f>
        <v/>
      </c>
      <c r="AJ15" s="30" t="str" cm="1">
        <f t="array" ref="AJ15">_xlfn.IFS(COUNTIF(Table14623576[[#This Row],[Phrases H]],"*H340*"), 20, TRUE, "")</f>
        <v/>
      </c>
      <c r="AK15" s="30" t="str" cm="1">
        <f t="array" ref="AK15">_xlfn.IFS(COUNTIF(Table14623576[[#This Row],[Phrases H]],"*H351*"), 10, TRUE, "")</f>
        <v/>
      </c>
      <c r="AL15" s="30" t="str" cm="1">
        <f t="array" ref="AL15">_xlfn.IFS(COUNTIF(Table14623576[[#This Row],[Phrases H]],"*H361*"), 10, TRUE, "")</f>
        <v/>
      </c>
      <c r="AM15" s="30" t="str" cm="1">
        <f t="array" ref="AM15">_xlfn.IFS(COUNTIF(Table14623576[[#This Row],[Phrases H]],"*H362*"), 10, TRUE, "")</f>
        <v/>
      </c>
      <c r="AN15" s="30" t="str" cm="1">
        <f t="array" ref="AN15">_xlfn.IFS(COUNTIF(Table14623576[[#This Row],[Phrases H]],"*H341*"), 10, TRUE, "")</f>
        <v/>
      </c>
      <c r="AO15" s="30" t="str" cm="1">
        <f t="array" ref="AO15">_xlfn.IFS(COUNTIF(Table14623576[[#This Row],[Phrases H]],"*H372*"), 10, TRUE, "")</f>
        <v/>
      </c>
      <c r="AP15" s="30" t="str" cm="1">
        <f t="array" ref="AP15">_xlfn.IFS(COUNTIF(Table14623576[[#This Row],[Phrases H]],"*H410*"), 10, TRUE, "")</f>
        <v/>
      </c>
      <c r="AQ15" s="30" t="str" cm="1">
        <f t="array" ref="AQ15">_xlfn.IFS(COUNTIF(Table14623576[[#This Row],[Phrases H]],"*H373*"), 5, TRUE, "")</f>
        <v/>
      </c>
      <c r="AR15" s="30" t="str" cm="1">
        <f t="array" ref="AR15">_xlfn.IFS(COUNTIF(Table14623576[[#This Row],[Phrases H]],"*H411*"), 5, TRUE, "")</f>
        <v/>
      </c>
      <c r="AS15" s="112">
        <f t="shared" si="12"/>
        <v>20</v>
      </c>
      <c r="AT15" s="129">
        <f>LOG(7590)</f>
        <v>3.8802417758954801</v>
      </c>
      <c r="AU15" s="113">
        <v>0.1166734</v>
      </c>
      <c r="AV15" s="114">
        <f t="shared" si="0"/>
        <v>20</v>
      </c>
      <c r="AW15" s="115" t="str">
        <f t="shared" si="1"/>
        <v>0</v>
      </c>
      <c r="AX15" s="116">
        <f t="shared" si="2"/>
        <v>20</v>
      </c>
      <c r="AY15" s="117">
        <f t="shared" si="13"/>
        <v>0.23529411764705882</v>
      </c>
      <c r="AZ15" s="118" t="str">
        <f t="shared" si="14"/>
        <v>4</v>
      </c>
      <c r="BA15" s="119" t="str">
        <f t="shared" si="3"/>
        <v>4</v>
      </c>
      <c r="BB15" s="32"/>
      <c r="BC15" s="113" t="s">
        <v>88</v>
      </c>
      <c r="BD15" s="113" t="s">
        <v>97</v>
      </c>
      <c r="BE15" s="120">
        <f t="shared" si="22"/>
        <v>0</v>
      </c>
      <c r="BF15" s="121" t="str">
        <f t="shared" si="16"/>
        <v>N/A</v>
      </c>
      <c r="BG15" s="122" t="str">
        <f t="shared" si="17"/>
        <v>E</v>
      </c>
      <c r="BH15" s="32"/>
      <c r="BI15" s="7" t="s">
        <v>231</v>
      </c>
      <c r="BJ15" s="130">
        <v>1</v>
      </c>
      <c r="BK15" s="7" t="s">
        <v>231</v>
      </c>
      <c r="BL15" s="131">
        <v>1</v>
      </c>
      <c r="BM15" s="132" t="s">
        <v>131</v>
      </c>
      <c r="BN15"/>
      <c r="BO15" s="60" t="str">
        <f t="shared" si="21"/>
        <v>Catégorie 4E OUI</v>
      </c>
      <c r="BP15"/>
      <c r="BQ15" s="42" t="s">
        <v>150</v>
      </c>
      <c r="BR15"/>
      <c r="BS15" s="187" t="str">
        <f t="shared" si="4"/>
        <v/>
      </c>
      <c r="BT15" s="19" t="str">
        <f t="shared" si="5"/>
        <v/>
      </c>
      <c r="BU15" s="19" t="str">
        <f t="shared" si="6"/>
        <v/>
      </c>
      <c r="BV15" s="10"/>
      <c r="BW15" s="5" t="str">
        <f t="shared" si="7"/>
        <v>X</v>
      </c>
      <c r="BX15" s="5" t="str">
        <f t="shared" si="8"/>
        <v>X</v>
      </c>
      <c r="BY15"/>
      <c r="BZ15" s="5" t="str">
        <f t="shared" si="9"/>
        <v>X</v>
      </c>
      <c r="CA15" s="5" t="str">
        <f t="shared" si="10"/>
        <v>X</v>
      </c>
      <c r="CB15" s="188" t="str">
        <f t="shared" si="11"/>
        <v>X</v>
      </c>
    </row>
    <row r="16" spans="1:80" s="27" customFormat="1" ht="43.4" customHeight="1" x14ac:dyDescent="0.55000000000000004">
      <c r="A16" s="104">
        <v>12</v>
      </c>
      <c r="B16" s="104" t="s">
        <v>75</v>
      </c>
      <c r="C16" s="111" t="s">
        <v>237</v>
      </c>
      <c r="D16" s="104" t="s">
        <v>238</v>
      </c>
      <c r="E16" s="104" t="s">
        <v>239</v>
      </c>
      <c r="F16" s="104" t="s">
        <v>240</v>
      </c>
      <c r="G16" s="104" t="s">
        <v>212</v>
      </c>
      <c r="H16" s="104" t="s">
        <v>241</v>
      </c>
      <c r="I16" s="104" t="s">
        <v>82</v>
      </c>
      <c r="J16" s="104" t="s">
        <v>83</v>
      </c>
      <c r="K16" s="104" t="s">
        <v>88</v>
      </c>
      <c r="L16" s="104" t="s">
        <v>85</v>
      </c>
      <c r="M16" s="104"/>
      <c r="N16" s="104"/>
      <c r="O16" s="104" t="s">
        <v>85</v>
      </c>
      <c r="P16" s="104"/>
      <c r="Q16" s="102"/>
      <c r="R16" s="104" t="s">
        <v>85</v>
      </c>
      <c r="S16" s="104" t="s">
        <v>88</v>
      </c>
      <c r="T16" s="104"/>
      <c r="U16" s="104" t="s">
        <v>88</v>
      </c>
      <c r="V16" s="104" t="s">
        <v>88</v>
      </c>
      <c r="W16" s="104" t="s">
        <v>242</v>
      </c>
      <c r="X16" s="104" t="s">
        <v>227</v>
      </c>
      <c r="Y16" s="104" t="s">
        <v>204</v>
      </c>
      <c r="Z16" s="104" t="s">
        <v>228</v>
      </c>
      <c r="AA16" s="104" t="s">
        <v>93</v>
      </c>
      <c r="AB16" s="128">
        <f>LOG(7590)</f>
        <v>3.8802417758954801</v>
      </c>
      <c r="AC16" s="104" t="s">
        <v>229</v>
      </c>
      <c r="AD16" s="104" t="s">
        <v>230</v>
      </c>
      <c r="AE16"/>
      <c r="AF16" s="30" cm="1">
        <f t="array" ref="AF16">_xlfn.IFS(COUNTIF(Table14623576[[#This Row],[PBT/ vPvB]],"*X*"), 20, TRUE, "")</f>
        <v>20</v>
      </c>
      <c r="AG16" s="30" t="str" cm="1">
        <f t="array" ref="AG16">_xlfn.IFS(COUNTIF(Table14623576[[#This Row],[Perturbateur Endocrinien]],"*X*"), 20, TRUE, "")</f>
        <v/>
      </c>
      <c r="AH16" s="30" t="str" cm="1">
        <f t="array" ref="AH16">_xlfn.IFS(COUNTIF(Table14623576[[#This Row],[Phrases H]],"*H350*"), 20, TRUE, "")</f>
        <v/>
      </c>
      <c r="AI16" s="30" t="str" cm="1">
        <f t="array" ref="AI16">_xlfn.IFS(COUNTIF(Table14623576[[#This Row],[Phrases H]],"*H360*"), 20, TRUE, "")</f>
        <v/>
      </c>
      <c r="AJ16" s="30" t="str" cm="1">
        <f t="array" ref="AJ16">_xlfn.IFS(COUNTIF(Table14623576[[#This Row],[Phrases H]],"*H340*"), 20, TRUE, "")</f>
        <v/>
      </c>
      <c r="AK16" s="30" t="str" cm="1">
        <f t="array" ref="AK16">_xlfn.IFS(COUNTIF(Table14623576[[#This Row],[Phrases H]],"*H351*"), 10, TRUE, "")</f>
        <v/>
      </c>
      <c r="AL16" s="30" t="str" cm="1">
        <f t="array" ref="AL16">_xlfn.IFS(COUNTIF(Table14623576[[#This Row],[Phrases H]],"*H361*"), 10, TRUE, "")</f>
        <v/>
      </c>
      <c r="AM16" s="30" t="str" cm="1">
        <f t="array" ref="AM16">_xlfn.IFS(COUNTIF(Table14623576[[#This Row],[Phrases H]],"*H362*"), 10, TRUE, "")</f>
        <v/>
      </c>
      <c r="AN16" s="30" t="str" cm="1">
        <f t="array" ref="AN16">_xlfn.IFS(COUNTIF(Table14623576[[#This Row],[Phrases H]],"*H341*"), 10, TRUE, "")</f>
        <v/>
      </c>
      <c r="AO16" s="30" t="str" cm="1">
        <f t="array" ref="AO16">_xlfn.IFS(COUNTIF(Table14623576[[#This Row],[Phrases H]],"*H372*"), 10, TRUE, "")</f>
        <v/>
      </c>
      <c r="AP16" s="30" t="str" cm="1">
        <f t="array" ref="AP16">_xlfn.IFS(COUNTIF(Table14623576[[#This Row],[Phrases H]],"*H410*"), 10, TRUE, "")</f>
        <v/>
      </c>
      <c r="AQ16" s="30" t="str" cm="1">
        <f t="array" ref="AQ16">_xlfn.IFS(COUNTIF(Table14623576[[#This Row],[Phrases H]],"*H373*"), 5, TRUE, "")</f>
        <v/>
      </c>
      <c r="AR16" s="30" t="str" cm="1">
        <f t="array" ref="AR16">_xlfn.IFS(COUNTIF(Table14623576[[#This Row],[Phrases H]],"*H411*"), 5, TRUE, "")</f>
        <v/>
      </c>
      <c r="AS16" s="112">
        <f t="shared" si="12"/>
        <v>20</v>
      </c>
      <c r="AT16" s="129">
        <f>LOG(7590)</f>
        <v>3.8802417758954801</v>
      </c>
      <c r="AU16" s="113">
        <v>0.1169</v>
      </c>
      <c r="AV16" s="114">
        <f t="shared" si="0"/>
        <v>20</v>
      </c>
      <c r="AW16" s="115" t="str">
        <f t="shared" si="1"/>
        <v>0</v>
      </c>
      <c r="AX16" s="116">
        <f t="shared" si="2"/>
        <v>20</v>
      </c>
      <c r="AY16" s="117">
        <f t="shared" si="13"/>
        <v>0.23529411764705882</v>
      </c>
      <c r="AZ16" s="118" t="str">
        <f t="shared" si="14"/>
        <v>4</v>
      </c>
      <c r="BA16" s="119" t="str">
        <f t="shared" si="3"/>
        <v>4</v>
      </c>
      <c r="BB16" s="32"/>
      <c r="BC16" s="113" t="s">
        <v>88</v>
      </c>
      <c r="BD16" s="113" t="s">
        <v>97</v>
      </c>
      <c r="BE16" s="120">
        <f t="shared" si="22"/>
        <v>0</v>
      </c>
      <c r="BF16" s="121" t="str">
        <f t="shared" si="16"/>
        <v>N/A</v>
      </c>
      <c r="BG16" s="122" t="str">
        <f t="shared" si="17"/>
        <v>E</v>
      </c>
      <c r="BH16" s="32"/>
      <c r="BI16" s="7" t="s">
        <v>231</v>
      </c>
      <c r="BJ16" s="130">
        <v>1</v>
      </c>
      <c r="BK16" s="7" t="s">
        <v>231</v>
      </c>
      <c r="BL16" s="131">
        <v>1</v>
      </c>
      <c r="BM16" s="132" t="s">
        <v>131</v>
      </c>
      <c r="BN16"/>
      <c r="BO16" s="60" t="str">
        <f t="shared" si="21"/>
        <v>Catégorie 4E OUI</v>
      </c>
      <c r="BP16"/>
      <c r="BQ16" s="42" t="s">
        <v>150</v>
      </c>
      <c r="BR16"/>
      <c r="BS16" s="187" t="str">
        <f t="shared" si="4"/>
        <v/>
      </c>
      <c r="BT16" s="19" t="str">
        <f t="shared" si="5"/>
        <v/>
      </c>
      <c r="BU16" s="19" t="str">
        <f t="shared" si="6"/>
        <v/>
      </c>
      <c r="BV16" s="10"/>
      <c r="BW16" s="5" t="str">
        <f t="shared" si="7"/>
        <v>X</v>
      </c>
      <c r="BX16" s="5" t="str">
        <f t="shared" si="8"/>
        <v>X</v>
      </c>
      <c r="BY16"/>
      <c r="BZ16" s="5" t="str">
        <f t="shared" si="9"/>
        <v>X</v>
      </c>
      <c r="CA16" s="5" t="str">
        <f t="shared" si="10"/>
        <v>X</v>
      </c>
      <c r="CB16" s="188" t="str">
        <f t="shared" si="11"/>
        <v>X</v>
      </c>
    </row>
    <row r="17" spans="1:80" s="27" customFormat="1" ht="52.75" customHeight="1" x14ac:dyDescent="0.55000000000000004">
      <c r="A17" s="104">
        <v>13</v>
      </c>
      <c r="B17" s="104" t="s">
        <v>75</v>
      </c>
      <c r="C17" s="111" t="s">
        <v>243</v>
      </c>
      <c r="D17" s="104" t="s">
        <v>77</v>
      </c>
      <c r="E17" s="104" t="s">
        <v>244</v>
      </c>
      <c r="F17" s="104" t="s">
        <v>245</v>
      </c>
      <c r="G17" s="104" t="s">
        <v>246</v>
      </c>
      <c r="H17" s="104" t="s">
        <v>247</v>
      </c>
      <c r="I17" s="104" t="s">
        <v>82</v>
      </c>
      <c r="J17" s="104" t="s">
        <v>83</v>
      </c>
      <c r="K17" s="104" t="s">
        <v>248</v>
      </c>
      <c r="L17" s="104"/>
      <c r="M17" s="104"/>
      <c r="N17" s="104"/>
      <c r="O17" s="104"/>
      <c r="P17" s="104"/>
      <c r="Q17" s="102"/>
      <c r="R17" s="104"/>
      <c r="S17" s="104" t="s">
        <v>88</v>
      </c>
      <c r="T17" s="104"/>
      <c r="U17" s="104" t="s">
        <v>249</v>
      </c>
      <c r="V17" s="104" t="s">
        <v>88</v>
      </c>
      <c r="W17" s="104" t="s">
        <v>250</v>
      </c>
      <c r="X17" s="104" t="s">
        <v>251</v>
      </c>
      <c r="Y17" s="104" t="s">
        <v>252</v>
      </c>
      <c r="Z17" s="104" t="s">
        <v>253</v>
      </c>
      <c r="AA17" s="104">
        <v>30</v>
      </c>
      <c r="AB17" s="128">
        <f>LOG(912)</f>
        <v>2.959994838328416</v>
      </c>
      <c r="AC17" s="104" t="s">
        <v>254</v>
      </c>
      <c r="AD17" s="104" t="s">
        <v>255</v>
      </c>
      <c r="AE17"/>
      <c r="AF17" s="30" t="str" cm="1">
        <f t="array" ref="AF17">_xlfn.IFS(COUNTIF(Table14623576[[#This Row],[PBT/ vPvB]],"*X*"), 20, TRUE, "")</f>
        <v/>
      </c>
      <c r="AG17" s="30" t="str" cm="1">
        <f t="array" ref="AG17">_xlfn.IFS(COUNTIF(Table14623576[[#This Row],[Perturbateur Endocrinien]],"*X*"), 20, TRUE, "")</f>
        <v/>
      </c>
      <c r="AH17" s="30" t="str" cm="1">
        <f t="array" ref="AH17">_xlfn.IFS(COUNTIF(Table14623576[[#This Row],[Phrases H]],"*H350*"), 20, TRUE, "")</f>
        <v/>
      </c>
      <c r="AI17" s="30" cm="1">
        <f t="array" ref="AI17">_xlfn.IFS(COUNTIF(Table14623576[[#This Row],[Phrases H]],"*H360*"), 20, TRUE, "")</f>
        <v>20</v>
      </c>
      <c r="AJ17" s="30" t="str" cm="1">
        <f t="array" ref="AJ17">_xlfn.IFS(COUNTIF(Table14623576[[#This Row],[Phrases H]],"*H340*"), 20, TRUE, "")</f>
        <v/>
      </c>
      <c r="AK17" s="30" t="str" cm="1">
        <f t="array" ref="AK17">_xlfn.IFS(COUNTIF(Table14623576[[#This Row],[Phrases H]],"*H351*"), 10, TRUE, "")</f>
        <v/>
      </c>
      <c r="AL17" s="30" t="str" cm="1">
        <f t="array" ref="AL17">_xlfn.IFS(COUNTIF(Table14623576[[#This Row],[Phrases H]],"*H361*"), 10, TRUE, "")</f>
        <v/>
      </c>
      <c r="AM17" s="30" t="str" cm="1">
        <f t="array" ref="AM17">_xlfn.IFS(COUNTIF(Table14623576[[#This Row],[Phrases H]],"*H362*"), 10, TRUE, "")</f>
        <v/>
      </c>
      <c r="AN17" s="30" t="str" cm="1">
        <f t="array" ref="AN17">_xlfn.IFS(COUNTIF(Table14623576[[#This Row],[Phrases H]],"*H341*"), 10, TRUE, "")</f>
        <v/>
      </c>
      <c r="AO17" s="30" t="str" cm="1">
        <f t="array" ref="AO17">_xlfn.IFS(COUNTIF(Table14623576[[#This Row],[Phrases H]],"*H372*"), 10, TRUE, "")</f>
        <v/>
      </c>
      <c r="AP17" s="30" t="str" cm="1">
        <f t="array" ref="AP17">_xlfn.IFS(COUNTIF(Table14623576[[#This Row],[Phrases H]],"*H410*"), 10, TRUE, "")</f>
        <v/>
      </c>
      <c r="AQ17" s="30" t="str" cm="1">
        <f t="array" ref="AQ17">_xlfn.IFS(COUNTIF(Table14623576[[#This Row],[Phrases H]],"*H373*"), 5, TRUE, "")</f>
        <v/>
      </c>
      <c r="AR17" s="30" t="str" cm="1">
        <f t="array" ref="AR17">_xlfn.IFS(COUNTIF(Table14623576[[#This Row],[Phrases H]],"*H411*"), 5, TRUE, "")</f>
        <v/>
      </c>
      <c r="AS17" s="112">
        <f t="shared" si="12"/>
        <v>20</v>
      </c>
      <c r="AT17" s="129">
        <f>LOG(912)</f>
        <v>2.959994838328416</v>
      </c>
      <c r="AU17" s="113">
        <v>230</v>
      </c>
      <c r="AV17" s="114">
        <f t="shared" si="0"/>
        <v>30</v>
      </c>
      <c r="AW17" s="115" t="str">
        <f t="shared" si="1"/>
        <v>10</v>
      </c>
      <c r="AX17" s="116">
        <f t="shared" si="2"/>
        <v>30</v>
      </c>
      <c r="AY17" s="117">
        <f t="shared" si="13"/>
        <v>0.35294117647058826</v>
      </c>
      <c r="AZ17" s="118" t="str">
        <f t="shared" si="14"/>
        <v>4</v>
      </c>
      <c r="BA17" s="119" t="str">
        <f t="shared" si="3"/>
        <v>4</v>
      </c>
      <c r="BB17" s="32"/>
      <c r="BC17" s="113" t="s">
        <v>256</v>
      </c>
      <c r="BD17" s="113" t="s">
        <v>97</v>
      </c>
      <c r="BE17" s="120">
        <f t="shared" si="22"/>
        <v>25</v>
      </c>
      <c r="BF17" s="121" t="str">
        <f t="shared" si="16"/>
        <v>Production très élevée</v>
      </c>
      <c r="BG17" s="122" t="str">
        <f t="shared" si="17"/>
        <v>A</v>
      </c>
      <c r="BH17" s="32"/>
      <c r="BI17" s="7"/>
      <c r="BJ17" s="130">
        <v>0</v>
      </c>
      <c r="BK17" s="7"/>
      <c r="BL17" s="131">
        <v>0</v>
      </c>
      <c r="BM17" s="132" t="s">
        <v>99</v>
      </c>
      <c r="BN17"/>
      <c r="BO17" s="60" t="str">
        <f t="shared" si="21"/>
        <v>Catégorie 4A NON</v>
      </c>
      <c r="BP17"/>
      <c r="BQ17" s="42" t="s">
        <v>88</v>
      </c>
      <c r="BR17"/>
      <c r="BS17" s="187" t="str">
        <f t="shared" si="4"/>
        <v/>
      </c>
      <c r="BT17" s="19" t="str">
        <f t="shared" si="5"/>
        <v/>
      </c>
      <c r="BU17" s="19" t="str">
        <f t="shared" si="6"/>
        <v/>
      </c>
      <c r="BV17" s="10"/>
      <c r="BW17" s="5" t="str">
        <f t="shared" si="7"/>
        <v/>
      </c>
      <c r="BX17" s="5" t="str">
        <f t="shared" si="8"/>
        <v/>
      </c>
      <c r="BY17"/>
      <c r="BZ17" s="5" t="str">
        <f t="shared" si="9"/>
        <v/>
      </c>
      <c r="CA17" s="5" t="str">
        <f t="shared" si="10"/>
        <v/>
      </c>
      <c r="CB17" s="188" t="str">
        <f t="shared" si="11"/>
        <v/>
      </c>
    </row>
    <row r="18" spans="1:80" s="27" customFormat="1" ht="43.4" customHeight="1" x14ac:dyDescent="0.55000000000000004">
      <c r="A18" s="104">
        <v>14</v>
      </c>
      <c r="B18" s="104" t="s">
        <v>75</v>
      </c>
      <c r="C18" s="111" t="s">
        <v>257</v>
      </c>
      <c r="D18" s="104" t="s">
        <v>258</v>
      </c>
      <c r="E18" s="104" t="s">
        <v>259</v>
      </c>
      <c r="F18" s="104" t="s">
        <v>260</v>
      </c>
      <c r="G18" s="104" t="s">
        <v>261</v>
      </c>
      <c r="H18" s="104" t="s">
        <v>262</v>
      </c>
      <c r="I18" s="104" t="s">
        <v>82</v>
      </c>
      <c r="J18" s="104" t="s">
        <v>83</v>
      </c>
      <c r="K18" s="104" t="s">
        <v>88</v>
      </c>
      <c r="L18" s="104"/>
      <c r="M18" s="104"/>
      <c r="N18" s="104"/>
      <c r="O18" s="104" t="s">
        <v>85</v>
      </c>
      <c r="P18" s="104"/>
      <c r="Q18" s="102"/>
      <c r="R18" s="104" t="s">
        <v>85</v>
      </c>
      <c r="S18" s="104" t="s">
        <v>88</v>
      </c>
      <c r="T18" s="104"/>
      <c r="U18" s="104" t="s">
        <v>108</v>
      </c>
      <c r="V18" s="104" t="s">
        <v>88</v>
      </c>
      <c r="W18" s="104" t="s">
        <v>263</v>
      </c>
      <c r="X18" s="104" t="s">
        <v>264</v>
      </c>
      <c r="Y18" s="104" t="s">
        <v>265</v>
      </c>
      <c r="Z18" s="104" t="s">
        <v>266</v>
      </c>
      <c r="AA18" s="104" t="s">
        <v>93</v>
      </c>
      <c r="AB18" s="128">
        <f>LOG(214000)</f>
        <v>5.330413773349191</v>
      </c>
      <c r="AC18" s="104" t="s">
        <v>267</v>
      </c>
      <c r="AD18" s="104" t="s">
        <v>268</v>
      </c>
      <c r="AE18"/>
      <c r="AF18" s="30" cm="1">
        <f t="array" ref="AF18">_xlfn.IFS(COUNTIF(Table14623576[[#This Row],[PBT/ vPvB]],"*X*"), 20, TRUE, "")</f>
        <v>20</v>
      </c>
      <c r="AG18" s="30" t="str" cm="1">
        <f t="array" ref="AG18">_xlfn.IFS(COUNTIF(Table14623576[[#This Row],[Perturbateur Endocrinien]],"*X*"), 20, TRUE, "")</f>
        <v/>
      </c>
      <c r="AH18" s="30" t="str" cm="1">
        <f t="array" ref="AH18">_xlfn.IFS(COUNTIF(Table14623576[[#This Row],[Phrases H]],"*H350*"), 20, TRUE, "")</f>
        <v/>
      </c>
      <c r="AI18" s="30" t="str" cm="1">
        <f t="array" ref="AI18">_xlfn.IFS(COUNTIF(Table14623576[[#This Row],[Phrases H]],"*H360*"), 20, TRUE, "")</f>
        <v/>
      </c>
      <c r="AJ18" s="30" t="str" cm="1">
        <f t="array" ref="AJ18">_xlfn.IFS(COUNTIF(Table14623576[[#This Row],[Phrases H]],"*H340*"), 20, TRUE, "")</f>
        <v/>
      </c>
      <c r="AK18" s="30" t="str" cm="1">
        <f t="array" ref="AK18">_xlfn.IFS(COUNTIF(Table14623576[[#This Row],[Phrases H]],"*H351*"), 10, TRUE, "")</f>
        <v/>
      </c>
      <c r="AL18" s="30" t="str" cm="1">
        <f t="array" ref="AL18">_xlfn.IFS(COUNTIF(Table14623576[[#This Row],[Phrases H]],"*H361*"), 10, TRUE, "")</f>
        <v/>
      </c>
      <c r="AM18" s="30" t="str" cm="1">
        <f t="array" ref="AM18">_xlfn.IFS(COUNTIF(Table14623576[[#This Row],[Phrases H]],"*H362*"), 10, TRUE, "")</f>
        <v/>
      </c>
      <c r="AN18" s="30" t="str" cm="1">
        <f t="array" ref="AN18">_xlfn.IFS(COUNTIF(Table14623576[[#This Row],[Phrases H]],"*H341*"), 10, TRUE, "")</f>
        <v/>
      </c>
      <c r="AO18" s="30" t="str" cm="1">
        <f t="array" ref="AO18">_xlfn.IFS(COUNTIF(Table14623576[[#This Row],[Phrases H]],"*H372*"), 10, TRUE, "")</f>
        <v/>
      </c>
      <c r="AP18" s="30" t="str" cm="1">
        <f t="array" ref="AP18">_xlfn.IFS(COUNTIF(Table14623576[[#This Row],[Phrases H]],"*H410*"), 10, TRUE, "")</f>
        <v/>
      </c>
      <c r="AQ18" s="30" t="str" cm="1">
        <f t="array" ref="AQ18">_xlfn.IFS(COUNTIF(Table14623576[[#This Row],[Phrases H]],"*H373*"), 5, TRUE, "")</f>
        <v/>
      </c>
      <c r="AR18" s="30" t="str" cm="1">
        <f t="array" ref="AR18">_xlfn.IFS(COUNTIF(Table14623576[[#This Row],[Phrases H]],"*H411*"), 5, TRUE, "")</f>
        <v/>
      </c>
      <c r="AS18" s="112">
        <f t="shared" si="12"/>
        <v>20</v>
      </c>
      <c r="AT18" s="129">
        <f>LOG(214000)</f>
        <v>5.330413773349191</v>
      </c>
      <c r="AU18" s="113">
        <v>1.1625399999999999E-2</v>
      </c>
      <c r="AV18" s="114">
        <f t="shared" si="0"/>
        <v>10</v>
      </c>
      <c r="AW18" s="115" t="str">
        <f t="shared" si="1"/>
        <v>0</v>
      </c>
      <c r="AX18" s="116">
        <f t="shared" si="2"/>
        <v>20</v>
      </c>
      <c r="AY18" s="117">
        <f t="shared" si="13"/>
        <v>0.23529411764705882</v>
      </c>
      <c r="AZ18" s="118" t="str">
        <f t="shared" si="14"/>
        <v>4</v>
      </c>
      <c r="BA18" s="119" t="str">
        <f t="shared" si="3"/>
        <v>4</v>
      </c>
      <c r="BB18" s="32"/>
      <c r="BC18" s="113" t="s">
        <v>88</v>
      </c>
      <c r="BD18" s="113" t="s">
        <v>97</v>
      </c>
      <c r="BE18" s="120">
        <f t="shared" si="22"/>
        <v>0</v>
      </c>
      <c r="BF18" s="121" t="str">
        <f t="shared" si="16"/>
        <v>N/A</v>
      </c>
      <c r="BG18" s="122" t="str">
        <f t="shared" si="17"/>
        <v>E</v>
      </c>
      <c r="BH18" s="32"/>
      <c r="BI18" s="7"/>
      <c r="BJ18" s="130">
        <v>0</v>
      </c>
      <c r="BK18" s="7"/>
      <c r="BL18" s="131">
        <v>0</v>
      </c>
      <c r="BM18" s="132" t="s">
        <v>99</v>
      </c>
      <c r="BN18"/>
      <c r="BO18" s="60" t="str">
        <f t="shared" si="21"/>
        <v>Catégorie 4E NON</v>
      </c>
      <c r="BP18"/>
      <c r="BQ18" s="42" t="s">
        <v>88</v>
      </c>
      <c r="BR18"/>
      <c r="BS18" s="187" t="str">
        <f t="shared" si="4"/>
        <v/>
      </c>
      <c r="BT18" s="19" t="str">
        <f t="shared" si="5"/>
        <v/>
      </c>
      <c r="BU18" s="19" t="str">
        <f t="shared" si="6"/>
        <v/>
      </c>
      <c r="BV18" s="10"/>
      <c r="BW18" s="5" t="str">
        <f t="shared" si="7"/>
        <v>X</v>
      </c>
      <c r="BX18" s="5" t="str">
        <f t="shared" si="8"/>
        <v/>
      </c>
      <c r="BY18"/>
      <c r="BZ18" s="5" t="str">
        <f t="shared" si="9"/>
        <v/>
      </c>
      <c r="CA18" s="5" t="str">
        <f t="shared" si="10"/>
        <v/>
      </c>
      <c r="CB18" s="188" t="str">
        <f t="shared" si="11"/>
        <v/>
      </c>
    </row>
    <row r="19" spans="1:80" s="27" customFormat="1" ht="44.5" customHeight="1" x14ac:dyDescent="0.55000000000000004">
      <c r="A19" s="104">
        <v>15</v>
      </c>
      <c r="B19" s="104" t="s">
        <v>75</v>
      </c>
      <c r="C19" s="111" t="s">
        <v>269</v>
      </c>
      <c r="D19" s="134" t="s">
        <v>77</v>
      </c>
      <c r="E19" s="104" t="s">
        <v>270</v>
      </c>
      <c r="F19" s="104" t="s">
        <v>271</v>
      </c>
      <c r="G19" s="104" t="s">
        <v>272</v>
      </c>
      <c r="H19" s="104" t="s">
        <v>273</v>
      </c>
      <c r="I19" s="104" t="s">
        <v>82</v>
      </c>
      <c r="J19" s="104" t="s">
        <v>274</v>
      </c>
      <c r="K19" s="104" t="s">
        <v>275</v>
      </c>
      <c r="L19" s="104"/>
      <c r="M19" s="104"/>
      <c r="N19" s="104" t="s">
        <v>85</v>
      </c>
      <c r="O19" s="104" t="s">
        <v>85</v>
      </c>
      <c r="P19" s="104"/>
      <c r="Q19" s="102"/>
      <c r="R19" s="104" t="s">
        <v>85</v>
      </c>
      <c r="S19" s="104" t="s">
        <v>86</v>
      </c>
      <c r="T19" s="104" t="s">
        <v>85</v>
      </c>
      <c r="U19" s="104" t="s">
        <v>276</v>
      </c>
      <c r="V19" s="104" t="s">
        <v>173</v>
      </c>
      <c r="W19" s="104" t="s">
        <v>277</v>
      </c>
      <c r="X19" s="104" t="s">
        <v>278</v>
      </c>
      <c r="Y19" s="104" t="s">
        <v>279</v>
      </c>
      <c r="Z19" s="104" t="s">
        <v>280</v>
      </c>
      <c r="AA19" s="104" t="s">
        <v>281</v>
      </c>
      <c r="AB19" s="128">
        <f>LOG(416869)</f>
        <v>5.6199996005004591</v>
      </c>
      <c r="AC19" s="104" t="s">
        <v>282</v>
      </c>
      <c r="AD19" s="104" t="s">
        <v>283</v>
      </c>
      <c r="AE19"/>
      <c r="AF19" s="30" cm="1">
        <f t="array" ref="AF19">_xlfn.IFS(COUNTIF(Table14623576[[#This Row],[PBT/ vPvB]],"*X*"), 20, TRUE, "")</f>
        <v>20</v>
      </c>
      <c r="AG19" s="30" cm="1">
        <f t="array" ref="AG19">_xlfn.IFS(COUNTIF(Table14623576[[#This Row],[Perturbateur Endocrinien]],"*X*"), 20, TRUE, "")</f>
        <v>20</v>
      </c>
      <c r="AH19" s="30" t="str" cm="1">
        <f t="array" ref="AH19">_xlfn.IFS(COUNTIF(Table14623576[[#This Row],[Phrases H]],"*H350*"), 20, TRUE, "")</f>
        <v/>
      </c>
      <c r="AI19" s="30" t="str" cm="1">
        <f t="array" ref="AI19">_xlfn.IFS(COUNTIF(Table14623576[[#This Row],[Phrases H]],"*H360*"), 20, TRUE, "")</f>
        <v/>
      </c>
      <c r="AJ19" s="30" t="str" cm="1">
        <f t="array" ref="AJ19">_xlfn.IFS(COUNTIF(Table14623576[[#This Row],[Phrases H]],"*H340*"), 20, TRUE, "")</f>
        <v/>
      </c>
      <c r="AK19" s="30" cm="1">
        <f t="array" ref="AK19">_xlfn.IFS(COUNTIF(Table14623576[[#This Row],[Phrases H]],"*H351*"), 10, TRUE, "")</f>
        <v>10</v>
      </c>
      <c r="AL19" s="30" t="str" cm="1">
        <f t="array" ref="AL19">_xlfn.IFS(COUNTIF(Table14623576[[#This Row],[Phrases H]],"*H361*"), 10, TRUE, "")</f>
        <v/>
      </c>
      <c r="AM19" s="30" t="str" cm="1">
        <f t="array" ref="AM19">_xlfn.IFS(COUNTIF(Table14623576[[#This Row],[Phrases H]],"*H362*"), 10, TRUE, "")</f>
        <v/>
      </c>
      <c r="AN19" s="30" t="str" cm="1">
        <f t="array" ref="AN19">_xlfn.IFS(COUNTIF(Table14623576[[#This Row],[Phrases H]],"*H341*"), 10, TRUE, "")</f>
        <v/>
      </c>
      <c r="AO19" s="30" t="str" cm="1">
        <f t="array" ref="AO19">_xlfn.IFS(COUNTIF(Table14623576[[#This Row],[Phrases H]],"*H372*"), 10, TRUE, "")</f>
        <v/>
      </c>
      <c r="AP19" s="30" cm="1">
        <f t="array" ref="AP19">_xlfn.IFS(COUNTIF(Table14623576[[#This Row],[Phrases H]],"*H410*"), 10, TRUE, "")</f>
        <v>10</v>
      </c>
      <c r="AQ19" s="30" t="str" cm="1">
        <f t="array" ref="AQ19">_xlfn.IFS(COUNTIF(Table14623576[[#This Row],[Phrases H]],"*H373*"), 5, TRUE, "")</f>
        <v/>
      </c>
      <c r="AR19" s="30" t="str" cm="1">
        <f t="array" ref="AR19">_xlfn.IFS(COUNTIF(Table14623576[[#This Row],[Phrases H]],"*H411*"), 5, TRUE, "")</f>
        <v/>
      </c>
      <c r="AS19" s="112">
        <f t="shared" si="12"/>
        <v>60</v>
      </c>
      <c r="AT19" s="129">
        <f>LOG(416869)</f>
        <v>5.6199996005004591</v>
      </c>
      <c r="AU19" s="113">
        <f>AVERAGE(0.0351,1.26)</f>
        <v>0.64754999999999996</v>
      </c>
      <c r="AV19" s="114">
        <f t="shared" si="0"/>
        <v>20</v>
      </c>
      <c r="AW19" s="115" t="str">
        <f t="shared" si="1"/>
        <v>0</v>
      </c>
      <c r="AX19" s="116">
        <f t="shared" si="2"/>
        <v>60</v>
      </c>
      <c r="AY19" s="117">
        <f t="shared" si="13"/>
        <v>0.70588235294117652</v>
      </c>
      <c r="AZ19" s="118" t="str">
        <f t="shared" si="14"/>
        <v>2</v>
      </c>
      <c r="BA19" s="119" t="str">
        <f t="shared" si="3"/>
        <v>2</v>
      </c>
      <c r="BB19" s="32"/>
      <c r="BC19" s="113">
        <v>100000</v>
      </c>
      <c r="BD19" s="113" t="s">
        <v>97</v>
      </c>
      <c r="BE19" s="120">
        <f t="shared" si="22"/>
        <v>25</v>
      </c>
      <c r="BF19" s="121" t="str">
        <f t="shared" si="16"/>
        <v>Production très élevée</v>
      </c>
      <c r="BG19" s="122" t="str">
        <f t="shared" si="17"/>
        <v>A</v>
      </c>
      <c r="BH19" s="32"/>
      <c r="BI19" s="7" t="s">
        <v>284</v>
      </c>
      <c r="BJ19" s="133">
        <v>2</v>
      </c>
      <c r="BK19" s="7" t="s">
        <v>285</v>
      </c>
      <c r="BL19" s="131">
        <v>1</v>
      </c>
      <c r="BM19" s="119" t="s">
        <v>131</v>
      </c>
      <c r="BN19"/>
      <c r="BO19" s="60" t="str">
        <f t="shared" si="20"/>
        <v>Catégorie 2AOUI</v>
      </c>
      <c r="BP19"/>
      <c r="BQ19" s="42" t="s">
        <v>132</v>
      </c>
      <c r="BR19"/>
      <c r="BS19" s="187" t="str">
        <f t="shared" si="4"/>
        <v>X</v>
      </c>
      <c r="BT19" s="19" t="str">
        <f t="shared" si="5"/>
        <v>X</v>
      </c>
      <c r="BU19" s="19" t="str">
        <f t="shared" si="6"/>
        <v>X</v>
      </c>
      <c r="BV19" s="10"/>
      <c r="BW19" s="5" t="str">
        <f t="shared" si="7"/>
        <v/>
      </c>
      <c r="BX19" s="5" t="str">
        <f t="shared" si="8"/>
        <v>X</v>
      </c>
      <c r="BY19"/>
      <c r="BZ19" s="5" t="str">
        <f t="shared" si="9"/>
        <v>X</v>
      </c>
      <c r="CA19" s="5" t="str">
        <f t="shared" si="10"/>
        <v>X</v>
      </c>
      <c r="CB19" s="188" t="str">
        <f t="shared" si="11"/>
        <v>X</v>
      </c>
    </row>
    <row r="20" spans="1:80" s="27" customFormat="1" ht="29.15" customHeight="1" x14ac:dyDescent="0.55000000000000004">
      <c r="A20" s="104">
        <v>16</v>
      </c>
      <c r="B20" s="104" t="s">
        <v>75</v>
      </c>
      <c r="C20" s="111" t="s">
        <v>286</v>
      </c>
      <c r="D20" s="104" t="s">
        <v>287</v>
      </c>
      <c r="E20" s="104" t="s">
        <v>288</v>
      </c>
      <c r="F20" s="104" t="s">
        <v>289</v>
      </c>
      <c r="G20" s="104" t="s">
        <v>290</v>
      </c>
      <c r="H20" s="104" t="s">
        <v>291</v>
      </c>
      <c r="I20" s="104" t="s">
        <v>82</v>
      </c>
      <c r="J20" s="104" t="s">
        <v>274</v>
      </c>
      <c r="K20" s="104" t="s">
        <v>292</v>
      </c>
      <c r="L20" s="104"/>
      <c r="M20" s="104"/>
      <c r="N20" s="104" t="s">
        <v>85</v>
      </c>
      <c r="O20" s="104"/>
      <c r="P20" s="104"/>
      <c r="Q20" s="102"/>
      <c r="R20" s="104"/>
      <c r="S20" s="104" t="s">
        <v>86</v>
      </c>
      <c r="T20" s="104" t="s">
        <v>85</v>
      </c>
      <c r="U20" s="104" t="s">
        <v>108</v>
      </c>
      <c r="V20" s="104" t="s">
        <v>88</v>
      </c>
      <c r="W20" s="104" t="s">
        <v>293</v>
      </c>
      <c r="X20" s="104" t="s">
        <v>294</v>
      </c>
      <c r="Y20" s="104" t="s">
        <v>93</v>
      </c>
      <c r="Z20" s="104" t="s">
        <v>295</v>
      </c>
      <c r="AA20" s="104">
        <v>20</v>
      </c>
      <c r="AB20" s="104">
        <v>5.63</v>
      </c>
      <c r="AC20" s="104" t="s">
        <v>296</v>
      </c>
      <c r="AD20" s="104" t="s">
        <v>297</v>
      </c>
      <c r="AE20"/>
      <c r="AF20" s="30" t="str" cm="1">
        <f t="array" ref="AF20">_xlfn.IFS(COUNTIF(Table14623576[[#This Row],[PBT/ vPvB]],"*X*"), 20, TRUE, "")</f>
        <v/>
      </c>
      <c r="AG20" s="30" cm="1">
        <f t="array" ref="AG20">_xlfn.IFS(COUNTIF(Table14623576[[#This Row],[Perturbateur Endocrinien]],"*X*"), 20, TRUE, "")</f>
        <v>20</v>
      </c>
      <c r="AH20" s="30" t="str" cm="1">
        <f t="array" ref="AH20">_xlfn.IFS(COUNTIF(Table14623576[[#This Row],[Phrases H]],"*H350*"), 20, TRUE, "")</f>
        <v/>
      </c>
      <c r="AI20" s="30" t="str" cm="1">
        <f t="array" ref="AI20">_xlfn.IFS(COUNTIF(Table14623576[[#This Row],[Phrases H]],"*H360*"), 20, TRUE, "")</f>
        <v/>
      </c>
      <c r="AJ20" s="30" t="str" cm="1">
        <f t="array" ref="AJ20">_xlfn.IFS(COUNTIF(Table14623576[[#This Row],[Phrases H]],"*H340*"), 20, TRUE, "")</f>
        <v/>
      </c>
      <c r="AK20" s="30" t="str" cm="1">
        <f t="array" ref="AK20">_xlfn.IFS(COUNTIF(Table14623576[[#This Row],[Phrases H]],"*H351*"), 10, TRUE, "")</f>
        <v/>
      </c>
      <c r="AL20" s="30" t="str" cm="1">
        <f t="array" ref="AL20">_xlfn.IFS(COUNTIF(Table14623576[[#This Row],[Phrases H]],"*H361*"), 10, TRUE, "")</f>
        <v/>
      </c>
      <c r="AM20" s="30" t="str" cm="1">
        <f t="array" ref="AM20">_xlfn.IFS(COUNTIF(Table14623576[[#This Row],[Phrases H]],"*H362*"), 10, TRUE, "")</f>
        <v/>
      </c>
      <c r="AN20" s="30" t="str" cm="1">
        <f t="array" ref="AN20">_xlfn.IFS(COUNTIF(Table14623576[[#This Row],[Phrases H]],"*H341*"), 10, TRUE, "")</f>
        <v/>
      </c>
      <c r="AO20" s="30" t="str" cm="1">
        <f t="array" ref="AO20">_xlfn.IFS(COUNTIF(Table14623576[[#This Row],[Phrases H]],"*H372*"), 10, TRUE, "")</f>
        <v/>
      </c>
      <c r="AP20" s="30" t="str" cm="1">
        <f t="array" ref="AP20">_xlfn.IFS(COUNTIF(Table14623576[[#This Row],[Phrases H]],"*H410*"), 10, TRUE, "")</f>
        <v/>
      </c>
      <c r="AQ20" s="30" t="str" cm="1">
        <f t="array" ref="AQ20">_xlfn.IFS(COUNTIF(Table14623576[[#This Row],[Phrases H]],"*H373*"), 5, TRUE, "")</f>
        <v/>
      </c>
      <c r="AR20" s="30" t="str" cm="1">
        <f t="array" ref="AR20">_xlfn.IFS(COUNTIF(Table14623576[[#This Row],[Phrases H]],"*H411*"), 5, TRUE, "")</f>
        <v/>
      </c>
      <c r="AS20" s="112">
        <f t="shared" si="12"/>
        <v>20</v>
      </c>
      <c r="AT20" s="113">
        <v>5.63</v>
      </c>
      <c r="AU20" s="113">
        <v>1.44E-4</v>
      </c>
      <c r="AV20" s="114">
        <f t="shared" si="0"/>
        <v>10</v>
      </c>
      <c r="AW20" s="115" t="str">
        <f t="shared" si="1"/>
        <v>0</v>
      </c>
      <c r="AX20" s="116">
        <f t="shared" si="2"/>
        <v>20</v>
      </c>
      <c r="AY20" s="117">
        <f t="shared" si="13"/>
        <v>0.23529411764705882</v>
      </c>
      <c r="AZ20" s="118" t="str">
        <f t="shared" si="14"/>
        <v>4</v>
      </c>
      <c r="BA20" s="119" t="str">
        <f t="shared" si="3"/>
        <v>4</v>
      </c>
      <c r="BB20" s="32"/>
      <c r="BC20" s="113">
        <v>10000</v>
      </c>
      <c r="BD20" s="113" t="s">
        <v>97</v>
      </c>
      <c r="BE20" s="120">
        <f t="shared" si="22"/>
        <v>20</v>
      </c>
      <c r="BF20" s="121" t="str">
        <f t="shared" si="16"/>
        <v>Production élevée</v>
      </c>
      <c r="BG20" s="122" t="str">
        <f t="shared" si="17"/>
        <v>B</v>
      </c>
      <c r="BH20" s="32"/>
      <c r="BI20" s="7"/>
      <c r="BJ20" s="130">
        <v>0</v>
      </c>
      <c r="BK20" s="7"/>
      <c r="BL20" s="131">
        <v>0</v>
      </c>
      <c r="BM20" s="132" t="s">
        <v>99</v>
      </c>
      <c r="BN20"/>
      <c r="BO20" s="60" t="str">
        <f t="shared" ref="BO20:BO22" si="23">_xlfn.CONCAT("Catégorie ", BA20,BG20," ",BM20)</f>
        <v>Catégorie 4B NON</v>
      </c>
      <c r="BP20"/>
      <c r="BQ20" s="42" t="s">
        <v>88</v>
      </c>
      <c r="BR20"/>
      <c r="BS20" s="187" t="str">
        <f t="shared" si="4"/>
        <v/>
      </c>
      <c r="BT20" s="19" t="str">
        <f t="shared" si="5"/>
        <v/>
      </c>
      <c r="BU20" s="19" t="str">
        <f t="shared" si="6"/>
        <v/>
      </c>
      <c r="BV20" s="10"/>
      <c r="BW20" s="5" t="str">
        <f t="shared" si="7"/>
        <v/>
      </c>
      <c r="BX20" s="5" t="str">
        <f t="shared" si="8"/>
        <v/>
      </c>
      <c r="BY20"/>
      <c r="BZ20" s="5" t="str">
        <f t="shared" si="9"/>
        <v/>
      </c>
      <c r="CA20" s="5" t="str">
        <f t="shared" si="10"/>
        <v/>
      </c>
      <c r="CB20" s="188" t="str">
        <f t="shared" si="11"/>
        <v/>
      </c>
    </row>
    <row r="21" spans="1:80" s="27" customFormat="1" ht="30" customHeight="1" x14ac:dyDescent="0.55000000000000004">
      <c r="A21" s="104">
        <v>17</v>
      </c>
      <c r="B21" s="104" t="s">
        <v>75</v>
      </c>
      <c r="C21" s="111" t="s">
        <v>298</v>
      </c>
      <c r="D21" s="104" t="s">
        <v>299</v>
      </c>
      <c r="E21" s="104" t="s">
        <v>300</v>
      </c>
      <c r="F21" s="104" t="s">
        <v>301</v>
      </c>
      <c r="G21" s="104" t="s">
        <v>302</v>
      </c>
      <c r="H21" s="104" t="s">
        <v>303</v>
      </c>
      <c r="I21" s="104" t="s">
        <v>82</v>
      </c>
      <c r="J21" s="104" t="s">
        <v>274</v>
      </c>
      <c r="K21" s="104" t="s">
        <v>304</v>
      </c>
      <c r="L21" s="104"/>
      <c r="M21" s="104"/>
      <c r="N21" s="104"/>
      <c r="O21" s="104"/>
      <c r="P21" s="104"/>
      <c r="Q21" s="102"/>
      <c r="R21" s="104"/>
      <c r="S21" s="104" t="s">
        <v>86</v>
      </c>
      <c r="T21" s="104" t="s">
        <v>85</v>
      </c>
      <c r="U21" s="104" t="s">
        <v>108</v>
      </c>
      <c r="V21" s="104" t="s">
        <v>88</v>
      </c>
      <c r="W21" s="104" t="s">
        <v>305</v>
      </c>
      <c r="X21" s="104" t="s">
        <v>110</v>
      </c>
      <c r="Y21" s="104" t="s">
        <v>306</v>
      </c>
      <c r="Z21" s="104" t="s">
        <v>307</v>
      </c>
      <c r="AA21" s="104" t="s">
        <v>93</v>
      </c>
      <c r="AB21" s="128">
        <f>LOG(13470000)</f>
        <v>7.1293675957229858</v>
      </c>
      <c r="AC21" s="104" t="s">
        <v>308</v>
      </c>
      <c r="AD21" s="104" t="s">
        <v>309</v>
      </c>
      <c r="AE21"/>
      <c r="AF21" s="30" t="str" cm="1">
        <f t="array" ref="AF21">_xlfn.IFS(COUNTIF(Table14623576[[#This Row],[PBT/ vPvB]],"*X*"), 20, TRUE, "")</f>
        <v/>
      </c>
      <c r="AG21" s="30" cm="1">
        <f t="array" ref="AG21">_xlfn.IFS(COUNTIF(Table14623576[[#This Row],[Perturbateur Endocrinien]],"*X*"), 20, TRUE, "")</f>
        <v>20</v>
      </c>
      <c r="AH21" s="30" t="str" cm="1">
        <f t="array" ref="AH21">_xlfn.IFS(COUNTIF(Table14623576[[#This Row],[Phrases H]],"*H350*"), 20, TRUE, "")</f>
        <v/>
      </c>
      <c r="AI21" s="30" t="str" cm="1">
        <f t="array" ref="AI21">_xlfn.IFS(COUNTIF(Table14623576[[#This Row],[Phrases H]],"*H360*"), 20, TRUE, "")</f>
        <v/>
      </c>
      <c r="AJ21" s="30" t="str" cm="1">
        <f t="array" ref="AJ21">_xlfn.IFS(COUNTIF(Table14623576[[#This Row],[Phrases H]],"*H340*"), 20, TRUE, "")</f>
        <v/>
      </c>
      <c r="AK21" s="30" t="str" cm="1">
        <f t="array" ref="AK21">_xlfn.IFS(COUNTIF(Table14623576[[#This Row],[Phrases H]],"*H351*"), 10, TRUE, "")</f>
        <v/>
      </c>
      <c r="AL21" s="30" t="str" cm="1">
        <f t="array" ref="AL21">_xlfn.IFS(COUNTIF(Table14623576[[#This Row],[Phrases H]],"*H361*"), 10, TRUE, "")</f>
        <v/>
      </c>
      <c r="AM21" s="30" t="str" cm="1">
        <f t="array" ref="AM21">_xlfn.IFS(COUNTIF(Table14623576[[#This Row],[Phrases H]],"*H362*"), 10, TRUE, "")</f>
        <v/>
      </c>
      <c r="AN21" s="30" t="str" cm="1">
        <f t="array" ref="AN21">_xlfn.IFS(COUNTIF(Table14623576[[#This Row],[Phrases H]],"*H341*"), 10, TRUE, "")</f>
        <v/>
      </c>
      <c r="AO21" s="30" t="str" cm="1">
        <f t="array" ref="AO21">_xlfn.IFS(COUNTIF(Table14623576[[#This Row],[Phrases H]],"*H372*"), 10, TRUE, "")</f>
        <v/>
      </c>
      <c r="AP21" s="30" t="str" cm="1">
        <f t="array" ref="AP21">_xlfn.IFS(COUNTIF(Table14623576[[#This Row],[Phrases H]],"*H410*"), 10, TRUE, "")</f>
        <v/>
      </c>
      <c r="AQ21" s="30" t="str" cm="1">
        <f t="array" ref="AQ21">_xlfn.IFS(COUNTIF(Table14623576[[#This Row],[Phrases H]],"*H373*"), 5, TRUE, "")</f>
        <v/>
      </c>
      <c r="AR21" s="30" t="str" cm="1">
        <f t="array" ref="AR21">_xlfn.IFS(COUNTIF(Table14623576[[#This Row],[Phrases H]],"*H411*"), 5, TRUE, "")</f>
        <v/>
      </c>
      <c r="AS21" s="112">
        <f t="shared" si="12"/>
        <v>20</v>
      </c>
      <c r="AT21" s="129">
        <f>LOG(13470000)</f>
        <v>7.1293675957229858</v>
      </c>
      <c r="AU21" s="113">
        <v>0.02</v>
      </c>
      <c r="AV21" s="114">
        <f t="shared" si="0"/>
        <v>10</v>
      </c>
      <c r="AW21" s="115" t="str">
        <f t="shared" si="1"/>
        <v>0</v>
      </c>
      <c r="AX21" s="116">
        <f t="shared" si="2"/>
        <v>20</v>
      </c>
      <c r="AY21" s="117">
        <f t="shared" si="13"/>
        <v>0.23529411764705882</v>
      </c>
      <c r="AZ21" s="118" t="str">
        <f t="shared" si="14"/>
        <v>4</v>
      </c>
      <c r="BA21" s="119" t="str">
        <f t="shared" si="3"/>
        <v>4</v>
      </c>
      <c r="BB21" s="32"/>
      <c r="BC21" s="113" t="s">
        <v>310</v>
      </c>
      <c r="BD21" s="113" t="s">
        <v>97</v>
      </c>
      <c r="BE21" s="120">
        <f t="shared" si="22"/>
        <v>25</v>
      </c>
      <c r="BF21" s="121" t="str">
        <f t="shared" si="16"/>
        <v>Production très élevée</v>
      </c>
      <c r="BG21" s="122" t="str">
        <f t="shared" si="17"/>
        <v>A</v>
      </c>
      <c r="BH21" s="32"/>
      <c r="BI21" s="7"/>
      <c r="BJ21" s="130">
        <v>0</v>
      </c>
      <c r="BK21" s="7"/>
      <c r="BL21" s="131">
        <v>0</v>
      </c>
      <c r="BM21" s="132" t="s">
        <v>99</v>
      </c>
      <c r="BN21"/>
      <c r="BO21" s="60" t="str">
        <f t="shared" si="23"/>
        <v>Catégorie 4A NON</v>
      </c>
      <c r="BP21"/>
      <c r="BQ21" s="42" t="s">
        <v>88</v>
      </c>
      <c r="BR21"/>
      <c r="BS21" s="187" t="str">
        <f t="shared" si="4"/>
        <v/>
      </c>
      <c r="BT21" s="19" t="str">
        <f t="shared" si="5"/>
        <v/>
      </c>
      <c r="BU21" s="19" t="str">
        <f t="shared" si="6"/>
        <v/>
      </c>
      <c r="BV21" s="10"/>
      <c r="BW21" s="5" t="str">
        <f t="shared" si="7"/>
        <v/>
      </c>
      <c r="BX21" s="5" t="str">
        <f t="shared" si="8"/>
        <v/>
      </c>
      <c r="BY21"/>
      <c r="BZ21" s="5" t="str">
        <f t="shared" si="9"/>
        <v/>
      </c>
      <c r="CA21" s="5" t="str">
        <f t="shared" si="10"/>
        <v/>
      </c>
      <c r="CB21" s="188" t="str">
        <f t="shared" si="11"/>
        <v/>
      </c>
    </row>
    <row r="22" spans="1:80" s="27" customFormat="1" ht="22.5" customHeight="1" x14ac:dyDescent="0.55000000000000004">
      <c r="A22" s="104">
        <v>18</v>
      </c>
      <c r="B22" s="104" t="s">
        <v>75</v>
      </c>
      <c r="C22" s="111" t="s">
        <v>311</v>
      </c>
      <c r="D22" s="104" t="s">
        <v>312</v>
      </c>
      <c r="E22" s="104" t="s">
        <v>313</v>
      </c>
      <c r="F22" s="104" t="s">
        <v>314</v>
      </c>
      <c r="G22" s="104" t="s">
        <v>315</v>
      </c>
      <c r="H22" s="104" t="s">
        <v>316</v>
      </c>
      <c r="I22" s="104" t="s">
        <v>82</v>
      </c>
      <c r="J22" s="104" t="s">
        <v>317</v>
      </c>
      <c r="K22" s="104" t="s">
        <v>318</v>
      </c>
      <c r="L22" s="104"/>
      <c r="M22" s="104"/>
      <c r="N22" s="104"/>
      <c r="O22" s="104" t="s">
        <v>85</v>
      </c>
      <c r="P22" s="104"/>
      <c r="Q22" s="102"/>
      <c r="R22" s="104" t="s">
        <v>85</v>
      </c>
      <c r="S22" s="104" t="s">
        <v>86</v>
      </c>
      <c r="T22" s="104"/>
      <c r="U22" s="104" t="s">
        <v>319</v>
      </c>
      <c r="V22" s="104" t="s">
        <v>88</v>
      </c>
      <c r="W22" s="104" t="s">
        <v>320</v>
      </c>
      <c r="X22" s="104" t="s">
        <v>321</v>
      </c>
      <c r="Y22" s="104" t="s">
        <v>322</v>
      </c>
      <c r="Z22" s="104" t="s">
        <v>323</v>
      </c>
      <c r="AA22" s="104">
        <v>25</v>
      </c>
      <c r="AB22" s="128">
        <f>LOG(19952623)</f>
        <v>7.299999996741831</v>
      </c>
      <c r="AC22" s="104" t="s">
        <v>324</v>
      </c>
      <c r="AD22" s="104" t="s">
        <v>325</v>
      </c>
      <c r="AE22"/>
      <c r="AF22" s="30" cm="1">
        <f t="array" ref="AF22">_xlfn.IFS(COUNTIF(Table14623576[[#This Row],[PBT/ vPvB]],"*X*"), 20, TRUE, "")</f>
        <v>20</v>
      </c>
      <c r="AG22" s="30" t="str" cm="1">
        <f t="array" ref="AG22">_xlfn.IFS(COUNTIF(Table14623576[[#This Row],[Perturbateur Endocrinien]],"*X*"), 20, TRUE, "")</f>
        <v/>
      </c>
      <c r="AH22" s="30" t="str" cm="1">
        <f t="array" ref="AH22">_xlfn.IFS(COUNTIF(Table14623576[[#This Row],[Phrases H]],"*H350*"), 20, TRUE, "")</f>
        <v/>
      </c>
      <c r="AI22" s="30" t="str" cm="1">
        <f t="array" ref="AI22">_xlfn.IFS(COUNTIF(Table14623576[[#This Row],[Phrases H]],"*H360*"), 20, TRUE, "")</f>
        <v/>
      </c>
      <c r="AJ22" s="30" t="str" cm="1">
        <f t="array" ref="AJ22">_xlfn.IFS(COUNTIF(Table14623576[[#This Row],[Phrases H]],"*H340*"), 20, TRUE, "")</f>
        <v/>
      </c>
      <c r="AK22" s="30" t="str" cm="1">
        <f t="array" ref="AK22">_xlfn.IFS(COUNTIF(Table14623576[[#This Row],[Phrases H]],"*H351*"), 10, TRUE, "")</f>
        <v/>
      </c>
      <c r="AL22" s="30" t="str" cm="1">
        <f t="array" ref="AL22">_xlfn.IFS(COUNTIF(Table14623576[[#This Row],[Phrases H]],"*H361*"), 10, TRUE, "")</f>
        <v/>
      </c>
      <c r="AM22" s="30" t="str" cm="1">
        <f t="array" ref="AM22">_xlfn.IFS(COUNTIF(Table14623576[[#This Row],[Phrases H]],"*H362*"), 10, TRUE, "")</f>
        <v/>
      </c>
      <c r="AN22" s="30" t="str" cm="1">
        <f t="array" ref="AN22">_xlfn.IFS(COUNTIF(Table14623576[[#This Row],[Phrases H]],"*H341*"), 10, TRUE, "")</f>
        <v/>
      </c>
      <c r="AO22" s="30" t="str" cm="1">
        <f t="array" ref="AO22">_xlfn.IFS(COUNTIF(Table14623576[[#This Row],[Phrases H]],"*H372*"), 10, TRUE, "")</f>
        <v/>
      </c>
      <c r="AP22" s="30" t="str" cm="1">
        <f t="array" ref="AP22">_xlfn.IFS(COUNTIF(Table14623576[[#This Row],[Phrases H]],"*H410*"), 10, TRUE, "")</f>
        <v/>
      </c>
      <c r="AQ22" s="30" t="str" cm="1">
        <f t="array" ref="AQ22">_xlfn.IFS(COUNTIF(Table14623576[[#This Row],[Phrases H]],"*H373*"), 5, TRUE, "")</f>
        <v/>
      </c>
      <c r="AR22" s="30" t="str" cm="1">
        <f t="array" ref="AR22">_xlfn.IFS(COUNTIF(Table14623576[[#This Row],[Phrases H]],"*H411*"), 5, TRUE, "")</f>
        <v/>
      </c>
      <c r="AS22" s="112">
        <f t="shared" si="12"/>
        <v>20</v>
      </c>
      <c r="AT22" s="129">
        <f>LOG(19952623)</f>
        <v>7.299999996741831</v>
      </c>
      <c r="AU22" s="113">
        <v>0.79400000000000004</v>
      </c>
      <c r="AV22" s="114">
        <f t="shared" si="0"/>
        <v>20</v>
      </c>
      <c r="AW22" s="115" t="str">
        <f t="shared" si="1"/>
        <v>0</v>
      </c>
      <c r="AX22" s="116">
        <f t="shared" si="2"/>
        <v>20</v>
      </c>
      <c r="AY22" s="117">
        <f t="shared" si="13"/>
        <v>0.23529411764705882</v>
      </c>
      <c r="AZ22" s="118" t="str">
        <f t="shared" si="14"/>
        <v>4</v>
      </c>
      <c r="BA22" s="119" t="str">
        <f t="shared" si="3"/>
        <v>4</v>
      </c>
      <c r="BB22" s="32"/>
      <c r="BC22" s="113" t="s">
        <v>326</v>
      </c>
      <c r="BD22" s="113" t="s">
        <v>97</v>
      </c>
      <c r="BE22" s="120">
        <f t="shared" si="22"/>
        <v>25</v>
      </c>
      <c r="BF22" s="121" t="str">
        <f t="shared" si="16"/>
        <v>Production très élevée</v>
      </c>
      <c r="BG22" s="122" t="str">
        <f t="shared" si="17"/>
        <v>A</v>
      </c>
      <c r="BH22" s="32"/>
      <c r="BI22" s="7"/>
      <c r="BJ22" s="130">
        <v>0</v>
      </c>
      <c r="BK22" s="7"/>
      <c r="BL22" s="131">
        <v>0</v>
      </c>
      <c r="BM22" s="132" t="s">
        <v>99</v>
      </c>
      <c r="BN22"/>
      <c r="BO22" s="60" t="str">
        <f t="shared" si="23"/>
        <v>Catégorie 4A NON</v>
      </c>
      <c r="BP22"/>
      <c r="BQ22" s="42" t="s">
        <v>88</v>
      </c>
      <c r="BR22"/>
      <c r="BS22" s="187" t="str">
        <f t="shared" si="4"/>
        <v/>
      </c>
      <c r="BT22" s="19" t="str">
        <f t="shared" si="5"/>
        <v/>
      </c>
      <c r="BU22" s="19" t="str">
        <f t="shared" si="6"/>
        <v/>
      </c>
      <c r="BV22" s="10"/>
      <c r="BW22" s="5" t="str">
        <f t="shared" si="7"/>
        <v/>
      </c>
      <c r="BX22" s="5" t="str">
        <f t="shared" si="8"/>
        <v/>
      </c>
      <c r="BY22"/>
      <c r="BZ22" s="5" t="str">
        <f t="shared" si="9"/>
        <v/>
      </c>
      <c r="CA22" s="5" t="str">
        <f t="shared" si="10"/>
        <v/>
      </c>
      <c r="CB22" s="188" t="str">
        <f t="shared" si="11"/>
        <v/>
      </c>
    </row>
    <row r="23" spans="1:80" s="27" customFormat="1" ht="35.5" customHeight="1" x14ac:dyDescent="0.55000000000000004">
      <c r="A23" s="104">
        <v>19</v>
      </c>
      <c r="B23" s="104" t="s">
        <v>75</v>
      </c>
      <c r="C23" s="111" t="s">
        <v>327</v>
      </c>
      <c r="D23" s="104" t="s">
        <v>328</v>
      </c>
      <c r="E23" s="104" t="s">
        <v>329</v>
      </c>
      <c r="F23" s="104" t="s">
        <v>330</v>
      </c>
      <c r="G23" s="104" t="s">
        <v>331</v>
      </c>
      <c r="H23" s="104" t="s">
        <v>88</v>
      </c>
      <c r="I23" s="104" t="s">
        <v>332</v>
      </c>
      <c r="J23" s="104" t="s">
        <v>333</v>
      </c>
      <c r="K23" s="104" t="s">
        <v>84</v>
      </c>
      <c r="L23" s="104"/>
      <c r="M23" s="104"/>
      <c r="N23" s="104"/>
      <c r="O23" s="104" t="s">
        <v>85</v>
      </c>
      <c r="P23" s="104"/>
      <c r="Q23" s="102"/>
      <c r="R23" s="104" t="s">
        <v>85</v>
      </c>
      <c r="S23" s="104" t="s">
        <v>86</v>
      </c>
      <c r="T23" s="104" t="s">
        <v>85</v>
      </c>
      <c r="U23" s="104" t="s">
        <v>334</v>
      </c>
      <c r="V23" s="104" t="s">
        <v>88</v>
      </c>
      <c r="W23" s="104" t="s">
        <v>305</v>
      </c>
      <c r="X23" s="104" t="s">
        <v>335</v>
      </c>
      <c r="Y23" s="104" t="s">
        <v>93</v>
      </c>
      <c r="Z23" s="104" t="s">
        <v>336</v>
      </c>
      <c r="AA23" s="104">
        <v>25</v>
      </c>
      <c r="AB23" s="128">
        <f>LOG(119941)</f>
        <v>5.0789676654178137</v>
      </c>
      <c r="AC23" s="104" t="s">
        <v>337</v>
      </c>
      <c r="AD23" s="104" t="s">
        <v>338</v>
      </c>
      <c r="AE23"/>
      <c r="AF23" s="30" cm="1">
        <f t="array" ref="AF23">_xlfn.IFS(COUNTIF(Table14623576[[#This Row],[PBT/ vPvB]],"*X*"), 20, TRUE, "")</f>
        <v>20</v>
      </c>
      <c r="AG23" s="30" cm="1">
        <f t="array" ref="AG23">_xlfn.IFS(COUNTIF(Table14623576[[#This Row],[Perturbateur Endocrinien]],"*X*"), 20, TRUE, "")</f>
        <v>20</v>
      </c>
      <c r="AH23" s="30" t="str" cm="1">
        <f t="array" ref="AH23">_xlfn.IFS(COUNTIF(Table14623576[[#This Row],[Phrases H]],"*H350*"), 20, TRUE, "")</f>
        <v/>
      </c>
      <c r="AI23" s="30" cm="1">
        <f t="array" ref="AI23">_xlfn.IFS(COUNTIF(Table14623576[[#This Row],[Phrases H]],"*H360*"), 20, TRUE, "")</f>
        <v>20</v>
      </c>
      <c r="AJ23" s="30" t="str" cm="1">
        <f t="array" ref="AJ23">_xlfn.IFS(COUNTIF(Table14623576[[#This Row],[Phrases H]],"*H340*"), 20, TRUE, "")</f>
        <v/>
      </c>
      <c r="AK23" s="30" t="str" cm="1">
        <f t="array" ref="AK23">_xlfn.IFS(COUNTIF(Table14623576[[#This Row],[Phrases H]],"*H351*"), 10, TRUE, "")</f>
        <v/>
      </c>
      <c r="AL23" s="30" t="str" cm="1">
        <f t="array" ref="AL23">_xlfn.IFS(COUNTIF(Table14623576[[#This Row],[Phrases H]],"*H361*"), 10, TRUE, "")</f>
        <v/>
      </c>
      <c r="AM23" s="30" t="str" cm="1">
        <f t="array" ref="AM23">_xlfn.IFS(COUNTIF(Table14623576[[#This Row],[Phrases H]],"*H362*"), 10, TRUE, "")</f>
        <v/>
      </c>
      <c r="AN23" s="30" t="str" cm="1">
        <f t="array" ref="AN23">_xlfn.IFS(COUNTIF(Table14623576[[#This Row],[Phrases H]],"*H341*"), 10, TRUE, "")</f>
        <v/>
      </c>
      <c r="AO23" s="30" t="str" cm="1">
        <f t="array" ref="AO23">_xlfn.IFS(COUNTIF(Table14623576[[#This Row],[Phrases H]],"*H372*"), 10, TRUE, "")</f>
        <v/>
      </c>
      <c r="AP23" s="30" cm="1">
        <f t="array" ref="AP23">_xlfn.IFS(COUNTIF(Table14623576[[#This Row],[Phrases H]],"*H410*"), 10, TRUE, "")</f>
        <v>10</v>
      </c>
      <c r="AQ23" s="30" cm="1">
        <f t="array" ref="AQ23">_xlfn.IFS(COUNTIF(Table14623576[[#This Row],[Phrases H]],"*H373*"), 5, TRUE, "")</f>
        <v>5</v>
      </c>
      <c r="AR23" s="30" t="str" cm="1">
        <f t="array" ref="AR23">_xlfn.IFS(COUNTIF(Table14623576[[#This Row],[Phrases H]],"*H411*"), 5, TRUE, "")</f>
        <v/>
      </c>
      <c r="AS23" s="112">
        <f t="shared" si="12"/>
        <v>75</v>
      </c>
      <c r="AT23" s="129">
        <f>LOG(119941)</f>
        <v>5.0789676654178137</v>
      </c>
      <c r="AU23" s="113">
        <v>0.02</v>
      </c>
      <c r="AV23" s="114">
        <f t="shared" si="0"/>
        <v>10</v>
      </c>
      <c r="AW23" s="115" t="str">
        <f t="shared" si="1"/>
        <v>0</v>
      </c>
      <c r="AX23" s="116">
        <f t="shared" si="2"/>
        <v>75</v>
      </c>
      <c r="AY23" s="117">
        <f t="shared" si="13"/>
        <v>0.88235294117647056</v>
      </c>
      <c r="AZ23" s="118" t="str">
        <f t="shared" si="14"/>
        <v>1</v>
      </c>
      <c r="BA23" s="119" t="str">
        <f t="shared" si="3"/>
        <v>1</v>
      </c>
      <c r="BB23" s="32"/>
      <c r="BC23" s="113">
        <v>1000</v>
      </c>
      <c r="BD23" s="113" t="s">
        <v>97</v>
      </c>
      <c r="BE23" s="120">
        <f t="shared" si="22"/>
        <v>15</v>
      </c>
      <c r="BF23" s="121" t="str">
        <f t="shared" si="16"/>
        <v>Production modérée</v>
      </c>
      <c r="BG23" s="122" t="str">
        <f t="shared" si="17"/>
        <v>C</v>
      </c>
      <c r="BH23" s="32"/>
      <c r="BI23" s="7"/>
      <c r="BJ23" s="133">
        <v>0</v>
      </c>
      <c r="BK23" s="7"/>
      <c r="BL23" s="131">
        <v>0</v>
      </c>
      <c r="BM23" s="119" t="s">
        <v>99</v>
      </c>
      <c r="BN23"/>
      <c r="BO23" s="60" t="str">
        <f t="shared" si="20"/>
        <v>Catégorie 1CNON</v>
      </c>
      <c r="BP23"/>
      <c r="BQ23" s="42" t="s">
        <v>88</v>
      </c>
      <c r="BR23"/>
      <c r="BS23" s="187" t="str">
        <f t="shared" si="4"/>
        <v>X</v>
      </c>
      <c r="BT23" s="19" t="str">
        <f t="shared" si="5"/>
        <v>X</v>
      </c>
      <c r="BU23" s="19" t="str">
        <f t="shared" si="6"/>
        <v>X</v>
      </c>
      <c r="BV23" s="10"/>
      <c r="BW23" s="5" t="str">
        <f t="shared" si="7"/>
        <v/>
      </c>
      <c r="BX23" s="5" t="str">
        <f t="shared" si="8"/>
        <v/>
      </c>
      <c r="BY23"/>
      <c r="BZ23" s="5" t="str">
        <f t="shared" si="9"/>
        <v>X</v>
      </c>
      <c r="CA23" s="5" t="str">
        <f t="shared" si="10"/>
        <v>X</v>
      </c>
      <c r="CB23" s="188" t="str">
        <f t="shared" si="11"/>
        <v>X</v>
      </c>
    </row>
    <row r="24" spans="1:80" s="27" customFormat="1" ht="26.15" customHeight="1" x14ac:dyDescent="0.55000000000000004">
      <c r="A24" s="104">
        <v>20</v>
      </c>
      <c r="B24" s="104" t="s">
        <v>75</v>
      </c>
      <c r="C24" s="111" t="s">
        <v>339</v>
      </c>
      <c r="D24" s="134" t="s">
        <v>77</v>
      </c>
      <c r="E24" s="104" t="s">
        <v>340</v>
      </c>
      <c r="F24" s="104" t="s">
        <v>341</v>
      </c>
      <c r="G24" s="104" t="s">
        <v>342</v>
      </c>
      <c r="H24" s="104" t="s">
        <v>343</v>
      </c>
      <c r="I24" s="104" t="s">
        <v>332</v>
      </c>
      <c r="J24" s="104" t="s">
        <v>333</v>
      </c>
      <c r="K24" s="104" t="s">
        <v>344</v>
      </c>
      <c r="L24" s="104"/>
      <c r="M24" s="104"/>
      <c r="N24" s="104" t="s">
        <v>85</v>
      </c>
      <c r="O24" s="104" t="s">
        <v>85</v>
      </c>
      <c r="P24" s="104"/>
      <c r="Q24" s="102"/>
      <c r="R24" s="104"/>
      <c r="S24" s="104" t="s">
        <v>345</v>
      </c>
      <c r="T24" s="104" t="s">
        <v>85</v>
      </c>
      <c r="U24" s="104" t="s">
        <v>346</v>
      </c>
      <c r="V24" s="104" t="s">
        <v>88</v>
      </c>
      <c r="W24" s="104" t="s">
        <v>347</v>
      </c>
      <c r="X24" s="104" t="s">
        <v>348</v>
      </c>
      <c r="Y24" s="104" t="s">
        <v>349</v>
      </c>
      <c r="Z24" s="104" t="s">
        <v>350</v>
      </c>
      <c r="AA24" s="104" t="s">
        <v>351</v>
      </c>
      <c r="AB24" s="128">
        <f>LOG(2944)</f>
        <v>3.4689378056654614</v>
      </c>
      <c r="AC24" s="104">
        <v>2944</v>
      </c>
      <c r="AD24" s="104" t="s">
        <v>352</v>
      </c>
      <c r="AE24"/>
      <c r="AF24" s="30" t="str" cm="1">
        <f t="array" ref="AF24">_xlfn.IFS(COUNTIF(Table14623576[[#This Row],[PBT/ vPvB]],"*X*"), 20, TRUE, "")</f>
        <v/>
      </c>
      <c r="AG24" s="30" cm="1">
        <f t="array" ref="AG24">_xlfn.IFS(COUNTIF(Table14623576[[#This Row],[Perturbateur Endocrinien]],"*X*"), 20, TRUE, "")</f>
        <v>20</v>
      </c>
      <c r="AH24" s="30" t="str" cm="1">
        <f t="array" ref="AH24">_xlfn.IFS(COUNTIF(Table14623576[[#This Row],[Phrases H]],"*H350*"), 20, TRUE, "")</f>
        <v/>
      </c>
      <c r="AI24" s="30" t="str" cm="1">
        <f t="array" ref="AI24">_xlfn.IFS(COUNTIF(Table14623576[[#This Row],[Phrases H]],"*H360*"), 20, TRUE, "")</f>
        <v/>
      </c>
      <c r="AJ24" s="30" t="str" cm="1">
        <f t="array" ref="AJ24">_xlfn.IFS(COUNTIF(Table14623576[[#This Row],[Phrases H]],"*H340*"), 20, TRUE, "")</f>
        <v/>
      </c>
      <c r="AK24" s="30" t="str" cm="1">
        <f t="array" ref="AK24">_xlfn.IFS(COUNTIF(Table14623576[[#This Row],[Phrases H]],"*H351*"), 10, TRUE, "")</f>
        <v/>
      </c>
      <c r="AL24" s="30" t="str" cm="1">
        <f t="array" ref="AL24">_xlfn.IFS(COUNTIF(Table14623576[[#This Row],[Phrases H]],"*H361*"), 10, TRUE, "")</f>
        <v/>
      </c>
      <c r="AM24" s="30" t="str" cm="1">
        <f t="array" ref="AM24">_xlfn.IFS(COUNTIF(Table14623576[[#This Row],[Phrases H]],"*H362*"), 10, TRUE, "")</f>
        <v/>
      </c>
      <c r="AN24" s="30" t="str" cm="1">
        <f t="array" ref="AN24">_xlfn.IFS(COUNTIF(Table14623576[[#This Row],[Phrases H]],"*H341*"), 10, TRUE, "")</f>
        <v/>
      </c>
      <c r="AO24" s="30" t="str" cm="1">
        <f t="array" ref="AO24">_xlfn.IFS(COUNTIF(Table14623576[[#This Row],[Phrases H]],"*H372*"), 10, TRUE, "")</f>
        <v/>
      </c>
      <c r="AP24" s="30" cm="1">
        <f t="array" ref="AP24">_xlfn.IFS(COUNTIF(Table14623576[[#This Row],[Phrases H]],"*H410*"), 10, TRUE, "")</f>
        <v>10</v>
      </c>
      <c r="AQ24" s="30" t="str" cm="1">
        <f t="array" ref="AQ24">_xlfn.IFS(COUNTIF(Table14623576[[#This Row],[Phrases H]],"*H373*"), 5, TRUE, "")</f>
        <v/>
      </c>
      <c r="AR24" s="30" t="str" cm="1">
        <f t="array" ref="AR24">_xlfn.IFS(COUNTIF(Table14623576[[#This Row],[Phrases H]],"*H411*"), 5, TRUE, "")</f>
        <v/>
      </c>
      <c r="AS24" s="112">
        <f t="shared" si="12"/>
        <v>30</v>
      </c>
      <c r="AT24" s="129">
        <f>LOG(2944)</f>
        <v>3.4689378056654614</v>
      </c>
      <c r="AU24" s="113">
        <v>1.9</v>
      </c>
      <c r="AV24" s="114">
        <f t="shared" si="0"/>
        <v>20</v>
      </c>
      <c r="AW24" s="115" t="str">
        <f t="shared" si="1"/>
        <v>0</v>
      </c>
      <c r="AX24" s="116">
        <f t="shared" si="2"/>
        <v>30</v>
      </c>
      <c r="AY24" s="117">
        <f t="shared" si="13"/>
        <v>0.35294117647058826</v>
      </c>
      <c r="AZ24" s="118" t="str">
        <f t="shared" si="14"/>
        <v>4</v>
      </c>
      <c r="BA24" s="119" t="str">
        <f t="shared" si="3"/>
        <v>4</v>
      </c>
      <c r="BB24" s="32"/>
      <c r="BC24" s="113">
        <v>100</v>
      </c>
      <c r="BD24" s="113" t="s">
        <v>97</v>
      </c>
      <c r="BE24" s="120">
        <f t="shared" si="22"/>
        <v>10</v>
      </c>
      <c r="BF24" s="121" t="str">
        <f t="shared" si="16"/>
        <v>Faible production</v>
      </c>
      <c r="BG24" s="122" t="str">
        <f t="shared" si="17"/>
        <v>D</v>
      </c>
      <c r="BH24" s="32"/>
      <c r="BI24" s="7" t="s">
        <v>285</v>
      </c>
      <c r="BJ24" s="130">
        <v>1</v>
      </c>
      <c r="BK24" s="7" t="s">
        <v>285</v>
      </c>
      <c r="BL24" s="131">
        <v>1</v>
      </c>
      <c r="BM24" s="132" t="s">
        <v>131</v>
      </c>
      <c r="BN24"/>
      <c r="BO24" s="60" t="str">
        <f t="shared" ref="BO24:BO27" si="24">_xlfn.CONCAT("Catégorie ", BA24,BG24," ",BM24)</f>
        <v>Catégorie 4D OUI</v>
      </c>
      <c r="BP24"/>
      <c r="BQ24" s="42" t="s">
        <v>150</v>
      </c>
      <c r="BR24"/>
      <c r="BS24" s="187" t="str">
        <f t="shared" si="4"/>
        <v/>
      </c>
      <c r="BT24" s="19" t="str">
        <f t="shared" si="5"/>
        <v/>
      </c>
      <c r="BU24" s="19" t="str">
        <f t="shared" si="6"/>
        <v/>
      </c>
      <c r="BV24" s="10"/>
      <c r="BW24" s="5" t="str">
        <f t="shared" si="7"/>
        <v>X</v>
      </c>
      <c r="BX24" s="5" t="str">
        <f t="shared" si="8"/>
        <v>X</v>
      </c>
      <c r="BY24"/>
      <c r="BZ24" s="5" t="str">
        <f t="shared" si="9"/>
        <v>X</v>
      </c>
      <c r="CA24" s="5" t="str">
        <f t="shared" si="10"/>
        <v>X</v>
      </c>
      <c r="CB24" s="188" t="str">
        <f t="shared" si="11"/>
        <v>X</v>
      </c>
    </row>
    <row r="25" spans="1:80" s="27" customFormat="1" ht="28.5" customHeight="1" x14ac:dyDescent="0.55000000000000004">
      <c r="A25" s="104">
        <v>21</v>
      </c>
      <c r="B25" s="104" t="s">
        <v>75</v>
      </c>
      <c r="C25" s="111" t="s">
        <v>353</v>
      </c>
      <c r="D25" s="104" t="s">
        <v>354</v>
      </c>
      <c r="E25" s="104" t="s">
        <v>355</v>
      </c>
      <c r="F25" s="104" t="s">
        <v>356</v>
      </c>
      <c r="G25" s="104" t="s">
        <v>88</v>
      </c>
      <c r="H25" s="104" t="s">
        <v>88</v>
      </c>
      <c r="I25" s="104" t="s">
        <v>332</v>
      </c>
      <c r="J25" s="104" t="s">
        <v>333</v>
      </c>
      <c r="K25" s="104" t="s">
        <v>357</v>
      </c>
      <c r="L25" s="104"/>
      <c r="M25" s="104"/>
      <c r="N25" s="104"/>
      <c r="O25" s="104"/>
      <c r="P25" s="104"/>
      <c r="Q25" s="102"/>
      <c r="R25" s="104"/>
      <c r="S25" s="104" t="s">
        <v>345</v>
      </c>
      <c r="T25" s="104"/>
      <c r="U25" s="104" t="s">
        <v>358</v>
      </c>
      <c r="V25" s="104" t="s">
        <v>88</v>
      </c>
      <c r="W25" s="104" t="s">
        <v>359</v>
      </c>
      <c r="X25" s="104" t="s">
        <v>159</v>
      </c>
      <c r="Y25" s="104" t="s">
        <v>93</v>
      </c>
      <c r="Z25" s="104" t="s">
        <v>360</v>
      </c>
      <c r="AA25" s="104">
        <v>25</v>
      </c>
      <c r="AB25" s="128">
        <f>LOG(20489)</f>
        <v>4.3115207624480485</v>
      </c>
      <c r="AC25" s="104" t="s">
        <v>361</v>
      </c>
      <c r="AD25" s="104" t="s">
        <v>362</v>
      </c>
      <c r="AE25"/>
      <c r="AF25" s="30" t="str" cm="1">
        <f t="array" ref="AF25">_xlfn.IFS(COUNTIF(Table14623576[[#This Row],[PBT/ vPvB]],"*X*"), 20, TRUE, "")</f>
        <v/>
      </c>
      <c r="AG25" s="30" t="str" cm="1">
        <f t="array" ref="AG25">_xlfn.IFS(COUNTIF(Table14623576[[#This Row],[Perturbateur Endocrinien]],"*X*"), 20, TRUE, "")</f>
        <v/>
      </c>
      <c r="AH25" s="30" t="str" cm="1">
        <f t="array" ref="AH25">_xlfn.IFS(COUNTIF(Table14623576[[#This Row],[Phrases H]],"*H350*"), 20, TRUE, "")</f>
        <v/>
      </c>
      <c r="AI25" s="30" t="str" cm="1">
        <f t="array" ref="AI25">_xlfn.IFS(COUNTIF(Table14623576[[#This Row],[Phrases H]],"*H360*"), 20, TRUE, "")</f>
        <v/>
      </c>
      <c r="AJ25" s="30" t="str" cm="1">
        <f t="array" ref="AJ25">_xlfn.IFS(COUNTIF(Table14623576[[#This Row],[Phrases H]],"*H340*"), 20, TRUE, "")</f>
        <v/>
      </c>
      <c r="AK25" s="30" t="str" cm="1">
        <f t="array" ref="AK25">_xlfn.IFS(COUNTIF(Table14623576[[#This Row],[Phrases H]],"*H351*"), 10, TRUE, "")</f>
        <v/>
      </c>
      <c r="AL25" s="30" cm="1">
        <f t="array" ref="AL25">_xlfn.IFS(COUNTIF(Table14623576[[#This Row],[Phrases H]],"*H361*"), 10, TRUE, "")</f>
        <v>10</v>
      </c>
      <c r="AM25" s="30" t="str" cm="1">
        <f t="array" ref="AM25">_xlfn.IFS(COUNTIF(Table14623576[[#This Row],[Phrases H]],"*H362*"), 10, TRUE, "")</f>
        <v/>
      </c>
      <c r="AN25" s="30" t="str" cm="1">
        <f t="array" ref="AN25">_xlfn.IFS(COUNTIF(Table14623576[[#This Row],[Phrases H]],"*H341*"), 10, TRUE, "")</f>
        <v/>
      </c>
      <c r="AO25" s="30" t="str" cm="1">
        <f t="array" ref="AO25">_xlfn.IFS(COUNTIF(Table14623576[[#This Row],[Phrases H]],"*H372*"), 10, TRUE, "")</f>
        <v/>
      </c>
      <c r="AP25" s="30" cm="1">
        <f t="array" ref="AP25">_xlfn.IFS(COUNTIF(Table14623576[[#This Row],[Phrases H]],"*H410*"), 10, TRUE, "")</f>
        <v>10</v>
      </c>
      <c r="AQ25" s="30" t="str" cm="1">
        <f t="array" ref="AQ25">_xlfn.IFS(COUNTIF(Table14623576[[#This Row],[Phrases H]],"*H373*"), 5, TRUE, "")</f>
        <v/>
      </c>
      <c r="AR25" s="30" t="str" cm="1">
        <f t="array" ref="AR25">_xlfn.IFS(COUNTIF(Table14623576[[#This Row],[Phrases H]],"*H411*"), 5, TRUE, "")</f>
        <v/>
      </c>
      <c r="AS25" s="112">
        <f t="shared" si="12"/>
        <v>20</v>
      </c>
      <c r="AT25" s="129">
        <f>LOG(20489)</f>
        <v>4.3115207624480485</v>
      </c>
      <c r="AU25" s="113">
        <v>0.27100000000000002</v>
      </c>
      <c r="AV25" s="114">
        <f t="shared" si="0"/>
        <v>20</v>
      </c>
      <c r="AW25" s="115" t="str">
        <f t="shared" si="1"/>
        <v>0</v>
      </c>
      <c r="AX25" s="116">
        <f t="shared" si="2"/>
        <v>20</v>
      </c>
      <c r="AY25" s="117">
        <f t="shared" si="13"/>
        <v>0.23529411764705882</v>
      </c>
      <c r="AZ25" s="118" t="str">
        <f t="shared" si="14"/>
        <v>4</v>
      </c>
      <c r="BA25" s="119" t="str">
        <f t="shared" si="3"/>
        <v>4</v>
      </c>
      <c r="BB25" s="32"/>
      <c r="BC25" s="113">
        <v>10000</v>
      </c>
      <c r="BD25" s="113" t="s">
        <v>97</v>
      </c>
      <c r="BE25" s="120">
        <f t="shared" si="22"/>
        <v>20</v>
      </c>
      <c r="BF25" s="121" t="str">
        <f t="shared" si="16"/>
        <v>Production élevée</v>
      </c>
      <c r="BG25" s="122" t="str">
        <f t="shared" si="17"/>
        <v>B</v>
      </c>
      <c r="BH25" s="32"/>
      <c r="BI25" s="7"/>
      <c r="BJ25" s="5">
        <v>0</v>
      </c>
      <c r="BK25" s="7"/>
      <c r="BL25" s="131">
        <v>0</v>
      </c>
      <c r="BM25" s="132" t="s">
        <v>99</v>
      </c>
      <c r="BN25"/>
      <c r="BO25" s="60" t="str">
        <f t="shared" si="24"/>
        <v>Catégorie 4B NON</v>
      </c>
      <c r="BP25"/>
      <c r="BQ25" s="42" t="s">
        <v>150</v>
      </c>
      <c r="BR25"/>
      <c r="BS25" s="187" t="str">
        <f t="shared" si="4"/>
        <v/>
      </c>
      <c r="BT25" s="19" t="str">
        <f t="shared" si="5"/>
        <v/>
      </c>
      <c r="BU25" s="19" t="str">
        <f t="shared" si="6"/>
        <v/>
      </c>
      <c r="BV25" s="10"/>
      <c r="BW25" s="5" t="str">
        <f t="shared" si="7"/>
        <v/>
      </c>
      <c r="BX25" s="5" t="str">
        <f t="shared" si="8"/>
        <v/>
      </c>
      <c r="BY25"/>
      <c r="BZ25" s="5" t="str">
        <f t="shared" si="9"/>
        <v/>
      </c>
      <c r="CA25" s="5" t="str">
        <f t="shared" si="10"/>
        <v/>
      </c>
      <c r="CB25" s="188" t="str">
        <f t="shared" si="11"/>
        <v/>
      </c>
    </row>
    <row r="26" spans="1:80" s="27" customFormat="1" ht="28.5" customHeight="1" x14ac:dyDescent="0.55000000000000004">
      <c r="A26" s="104">
        <v>22</v>
      </c>
      <c r="B26" s="104" t="s">
        <v>75</v>
      </c>
      <c r="C26" s="111" t="s">
        <v>363</v>
      </c>
      <c r="D26" s="104" t="s">
        <v>364</v>
      </c>
      <c r="E26" s="104" t="s">
        <v>365</v>
      </c>
      <c r="F26" s="104" t="s">
        <v>366</v>
      </c>
      <c r="G26" s="104" t="s">
        <v>367</v>
      </c>
      <c r="H26" s="104" t="s">
        <v>88</v>
      </c>
      <c r="I26" s="104" t="s">
        <v>332</v>
      </c>
      <c r="J26" s="104" t="s">
        <v>333</v>
      </c>
      <c r="K26" s="104" t="s">
        <v>357</v>
      </c>
      <c r="L26" s="104"/>
      <c r="M26" s="104"/>
      <c r="N26" s="104"/>
      <c r="O26" s="104"/>
      <c r="P26" s="104"/>
      <c r="Q26" s="102"/>
      <c r="R26" s="104" t="s">
        <v>85</v>
      </c>
      <c r="S26" s="104" t="s">
        <v>86</v>
      </c>
      <c r="T26" s="104"/>
      <c r="U26" s="104" t="s">
        <v>368</v>
      </c>
      <c r="V26" s="104" t="s">
        <v>88</v>
      </c>
      <c r="W26" s="104" t="s">
        <v>369</v>
      </c>
      <c r="X26" s="104" t="s">
        <v>110</v>
      </c>
      <c r="Y26" s="104" t="s">
        <v>93</v>
      </c>
      <c r="Z26" s="104" t="s">
        <v>370</v>
      </c>
      <c r="AA26" s="104">
        <v>25</v>
      </c>
      <c r="AB26" s="128">
        <f>LOG(8511)</f>
        <v>3.9299805905155147</v>
      </c>
      <c r="AC26" s="104" t="s">
        <v>371</v>
      </c>
      <c r="AD26" s="104" t="s">
        <v>362</v>
      </c>
      <c r="AE26"/>
      <c r="AF26" s="30" cm="1">
        <f t="array" ref="AF26">_xlfn.IFS(COUNTIF(Table14623576[[#This Row],[PBT/ vPvB]],"*X*"), 20, TRUE, "")</f>
        <v>20</v>
      </c>
      <c r="AG26" s="30" t="str" cm="1">
        <f t="array" ref="AG26">_xlfn.IFS(COUNTIF(Table14623576[[#This Row],[Perturbateur Endocrinien]],"*X*"), 20, TRUE, "")</f>
        <v/>
      </c>
      <c r="AH26" s="30" t="str" cm="1">
        <f t="array" ref="AH26">_xlfn.IFS(COUNTIF(Table14623576[[#This Row],[Phrases H]],"*H350*"), 20, TRUE, "")</f>
        <v/>
      </c>
      <c r="AI26" s="30" t="str" cm="1">
        <f t="array" ref="AI26">_xlfn.IFS(COUNTIF(Table14623576[[#This Row],[Phrases H]],"*H360*"), 20, TRUE, "")</f>
        <v/>
      </c>
      <c r="AJ26" s="30" t="str" cm="1">
        <f t="array" ref="AJ26">_xlfn.IFS(COUNTIF(Table14623576[[#This Row],[Phrases H]],"*H340*"), 20, TRUE, "")</f>
        <v/>
      </c>
      <c r="AK26" s="30" t="str" cm="1">
        <f t="array" ref="AK26">_xlfn.IFS(COUNTIF(Table14623576[[#This Row],[Phrases H]],"*H351*"), 10, TRUE, "")</f>
        <v/>
      </c>
      <c r="AL26" s="30" cm="1">
        <f t="array" ref="AL26">_xlfn.IFS(COUNTIF(Table14623576[[#This Row],[Phrases H]],"*H361*"), 10, TRUE, "")</f>
        <v>10</v>
      </c>
      <c r="AM26" s="30" t="str" cm="1">
        <f t="array" ref="AM26">_xlfn.IFS(COUNTIF(Table14623576[[#This Row],[Phrases H]],"*H362*"), 10, TRUE, "")</f>
        <v/>
      </c>
      <c r="AN26" s="30" t="str" cm="1">
        <f t="array" ref="AN26">_xlfn.IFS(COUNTIF(Table14623576[[#This Row],[Phrases H]],"*H341*"), 10, TRUE, "")</f>
        <v/>
      </c>
      <c r="AO26" s="30" t="str" cm="1">
        <f t="array" ref="AO26">_xlfn.IFS(COUNTIF(Table14623576[[#This Row],[Phrases H]],"*H372*"), 10, TRUE, "")</f>
        <v/>
      </c>
      <c r="AP26" s="30" cm="1">
        <f t="array" ref="AP26">_xlfn.IFS(COUNTIF(Table14623576[[#This Row],[Phrases H]],"*H410*"), 10, TRUE, "")</f>
        <v>10</v>
      </c>
      <c r="AQ26" s="30" cm="1">
        <f t="array" ref="AQ26">_xlfn.IFS(COUNTIF(Table14623576[[#This Row],[Phrases H]],"*H373*"), 5, TRUE, "")</f>
        <v>5</v>
      </c>
      <c r="AR26" s="30" t="str" cm="1">
        <f t="array" ref="AR26">_xlfn.IFS(COUNTIF(Table14623576[[#This Row],[Phrases H]],"*H411*"), 5, TRUE, "")</f>
        <v/>
      </c>
      <c r="AS26" s="112">
        <f t="shared" si="12"/>
        <v>45</v>
      </c>
      <c r="AT26" s="129">
        <f>LOG(8511)</f>
        <v>3.9299805905155147</v>
      </c>
      <c r="AU26" s="113">
        <v>0.33</v>
      </c>
      <c r="AV26" s="114">
        <f t="shared" si="0"/>
        <v>20</v>
      </c>
      <c r="AW26" s="115" t="str">
        <f t="shared" si="1"/>
        <v>0</v>
      </c>
      <c r="AX26" s="116">
        <f t="shared" si="2"/>
        <v>45</v>
      </c>
      <c r="AY26" s="117">
        <f t="shared" si="13"/>
        <v>0.52941176470588236</v>
      </c>
      <c r="AZ26" s="118" t="str">
        <f t="shared" si="14"/>
        <v>3</v>
      </c>
      <c r="BA26" s="119" t="str">
        <f t="shared" si="3"/>
        <v>3</v>
      </c>
      <c r="BB26" s="32"/>
      <c r="BC26" s="113">
        <v>10000</v>
      </c>
      <c r="BD26" s="113" t="s">
        <v>97</v>
      </c>
      <c r="BE26" s="120">
        <f t="shared" si="22"/>
        <v>20</v>
      </c>
      <c r="BF26" s="121" t="str">
        <f t="shared" si="16"/>
        <v>Production élevée</v>
      </c>
      <c r="BG26" s="122" t="str">
        <f t="shared" si="17"/>
        <v>B</v>
      </c>
      <c r="BH26" s="32"/>
      <c r="BI26" s="7"/>
      <c r="BJ26" s="5">
        <v>0</v>
      </c>
      <c r="BK26" s="7"/>
      <c r="BL26" s="131">
        <v>0</v>
      </c>
      <c r="BM26" s="132" t="s">
        <v>99</v>
      </c>
      <c r="BN26"/>
      <c r="BO26" s="60" t="str">
        <f t="shared" si="24"/>
        <v>Catégorie 3B NON</v>
      </c>
      <c r="BP26"/>
      <c r="BQ26" s="42" t="s">
        <v>88</v>
      </c>
      <c r="BR26"/>
      <c r="BS26" s="187" t="str">
        <f t="shared" si="4"/>
        <v>X</v>
      </c>
      <c r="BT26" s="19" t="str">
        <f t="shared" si="5"/>
        <v>X</v>
      </c>
      <c r="BU26" s="19" t="str">
        <f t="shared" si="6"/>
        <v/>
      </c>
      <c r="BV26" s="10"/>
      <c r="BW26" s="5" t="str">
        <f t="shared" si="7"/>
        <v/>
      </c>
      <c r="BX26" s="5" t="str">
        <f t="shared" si="8"/>
        <v/>
      </c>
      <c r="BY26"/>
      <c r="BZ26" s="5" t="str">
        <f t="shared" si="9"/>
        <v>X</v>
      </c>
      <c r="CA26" s="5" t="str">
        <f t="shared" si="10"/>
        <v>X</v>
      </c>
      <c r="CB26" s="188" t="str">
        <f t="shared" si="11"/>
        <v/>
      </c>
    </row>
    <row r="27" spans="1:80" s="27" customFormat="1" ht="35.5" customHeight="1" x14ac:dyDescent="0.55000000000000004">
      <c r="A27" s="104">
        <v>23</v>
      </c>
      <c r="B27" s="104" t="s">
        <v>75</v>
      </c>
      <c r="C27" s="111" t="s">
        <v>372</v>
      </c>
      <c r="D27" s="104" t="s">
        <v>373</v>
      </c>
      <c r="E27" s="104" t="s">
        <v>374</v>
      </c>
      <c r="F27" s="104" t="s">
        <v>375</v>
      </c>
      <c r="G27" s="104" t="s">
        <v>376</v>
      </c>
      <c r="H27" s="104" t="s">
        <v>377</v>
      </c>
      <c r="I27" s="104" t="s">
        <v>332</v>
      </c>
      <c r="J27" s="104" t="s">
        <v>378</v>
      </c>
      <c r="K27" s="104" t="s">
        <v>379</v>
      </c>
      <c r="L27" s="104"/>
      <c r="M27" s="104"/>
      <c r="N27" s="104"/>
      <c r="O27" s="104"/>
      <c r="P27" s="104"/>
      <c r="Q27" s="102"/>
      <c r="R27" s="104"/>
      <c r="S27" s="104" t="s">
        <v>187</v>
      </c>
      <c r="T27" s="104"/>
      <c r="U27" s="104" t="s">
        <v>380</v>
      </c>
      <c r="V27" s="104" t="s">
        <v>122</v>
      </c>
      <c r="W27" s="104" t="s">
        <v>381</v>
      </c>
      <c r="X27" s="104" t="s">
        <v>278</v>
      </c>
      <c r="Y27" s="104" t="s">
        <v>382</v>
      </c>
      <c r="Z27" s="104" t="s">
        <v>383</v>
      </c>
      <c r="AA27" s="104" t="s">
        <v>93</v>
      </c>
      <c r="AB27" s="128">
        <f>LOG(153)</f>
        <v>2.1846914308175989</v>
      </c>
      <c r="AC27" s="104" t="s">
        <v>384</v>
      </c>
      <c r="AD27" s="104" t="s">
        <v>385</v>
      </c>
      <c r="AE27"/>
      <c r="AF27" s="30" t="str" cm="1">
        <f t="array" ref="AF27">_xlfn.IFS(COUNTIF(Table14623576[[#This Row],[PBT/ vPvB]],"*X*"), 20, TRUE, "")</f>
        <v/>
      </c>
      <c r="AG27" s="30" t="str" cm="1">
        <f t="array" ref="AG27">_xlfn.IFS(COUNTIF(Table14623576[[#This Row],[Perturbateur Endocrinien]],"*X*"), 20, TRUE, "")</f>
        <v/>
      </c>
      <c r="AH27" s="30" t="str" cm="1">
        <f t="array" ref="AH27">_xlfn.IFS(COUNTIF(Table14623576[[#This Row],[Phrases H]],"*H350*"), 20, TRUE, "")</f>
        <v/>
      </c>
      <c r="AI27" s="30" t="str" cm="1">
        <f t="array" ref="AI27">_xlfn.IFS(COUNTIF(Table14623576[[#This Row],[Phrases H]],"*H360*"), 20, TRUE, "")</f>
        <v/>
      </c>
      <c r="AJ27" s="30" t="str" cm="1">
        <f t="array" ref="AJ27">_xlfn.IFS(COUNTIF(Table14623576[[#This Row],[Phrases H]],"*H340*"), 20, TRUE, "")</f>
        <v/>
      </c>
      <c r="AK27" s="30" t="str" cm="1">
        <f t="array" ref="AK27">_xlfn.IFS(COUNTIF(Table14623576[[#This Row],[Phrases H]],"*H351*"), 10, TRUE, "")</f>
        <v/>
      </c>
      <c r="AL27" s="30" cm="1">
        <f t="array" ref="AL27">_xlfn.IFS(COUNTIF(Table14623576[[#This Row],[Phrases H]],"*H361*"), 10, TRUE, "")</f>
        <v>10</v>
      </c>
      <c r="AM27" s="30" t="str" cm="1">
        <f t="array" ref="AM27">_xlfn.IFS(COUNTIF(Table14623576[[#This Row],[Phrases H]],"*H362*"), 10, TRUE, "")</f>
        <v/>
      </c>
      <c r="AN27" s="30" t="str" cm="1">
        <f t="array" ref="AN27">_xlfn.IFS(COUNTIF(Table14623576[[#This Row],[Phrases H]],"*H341*"), 10, TRUE, "")</f>
        <v/>
      </c>
      <c r="AO27" s="30" t="str" cm="1">
        <f t="array" ref="AO27">_xlfn.IFS(COUNTIF(Table14623576[[#This Row],[Phrases H]],"*H372*"), 10, TRUE, "")</f>
        <v/>
      </c>
      <c r="AP27" s="30" t="str" cm="1">
        <f t="array" ref="AP27">_xlfn.IFS(COUNTIF(Table14623576[[#This Row],[Phrases H]],"*H410*"), 10, TRUE, "")</f>
        <v/>
      </c>
      <c r="AQ27" s="30" t="str" cm="1">
        <f t="array" ref="AQ27">_xlfn.IFS(COUNTIF(Table14623576[[#This Row],[Phrases H]],"*H373*"), 5, TRUE, "")</f>
        <v/>
      </c>
      <c r="AR27" s="30" cm="1">
        <f t="array" ref="AR27">_xlfn.IFS(COUNTIF(Table14623576[[#This Row],[Phrases H]],"*H411*"), 5, TRUE, "")</f>
        <v>5</v>
      </c>
      <c r="AS27" s="112">
        <f t="shared" si="12"/>
        <v>15</v>
      </c>
      <c r="AT27" s="129">
        <f>LOG(153)</f>
        <v>2.1846914308175989</v>
      </c>
      <c r="AU27" s="113" t="s">
        <v>386</v>
      </c>
      <c r="AV27" s="114">
        <f t="shared" si="0"/>
        <v>50</v>
      </c>
      <c r="AW27" s="115" t="str">
        <f t="shared" si="1"/>
        <v>10</v>
      </c>
      <c r="AX27" s="116">
        <f t="shared" si="2"/>
        <v>25</v>
      </c>
      <c r="AY27" s="117">
        <f t="shared" si="13"/>
        <v>0.29411764705882354</v>
      </c>
      <c r="AZ27" s="118" t="str">
        <f t="shared" si="14"/>
        <v>4</v>
      </c>
      <c r="BA27" s="119" t="str">
        <f t="shared" si="3"/>
        <v>4</v>
      </c>
      <c r="BB27" s="32"/>
      <c r="BC27" s="113">
        <v>100</v>
      </c>
      <c r="BD27" s="113" t="s">
        <v>97</v>
      </c>
      <c r="BE27" s="120">
        <f t="shared" si="22"/>
        <v>10</v>
      </c>
      <c r="BF27" s="121" t="str">
        <f t="shared" si="16"/>
        <v>Faible production</v>
      </c>
      <c r="BG27" s="122" t="str">
        <f t="shared" si="17"/>
        <v>D</v>
      </c>
      <c r="BH27" s="32"/>
      <c r="BI27" s="7"/>
      <c r="BJ27" s="5">
        <v>0</v>
      </c>
      <c r="BK27" s="7"/>
      <c r="BL27" s="131">
        <v>0</v>
      </c>
      <c r="BM27" s="132" t="s">
        <v>99</v>
      </c>
      <c r="BN27"/>
      <c r="BO27" s="60" t="str">
        <f t="shared" si="24"/>
        <v>Catégorie 4D NON</v>
      </c>
      <c r="BP27"/>
      <c r="BQ27" s="42" t="s">
        <v>88</v>
      </c>
      <c r="BR27"/>
      <c r="BS27" s="187" t="str">
        <f t="shared" si="4"/>
        <v/>
      </c>
      <c r="BT27" s="19" t="str">
        <f t="shared" si="5"/>
        <v/>
      </c>
      <c r="BU27" s="19" t="str">
        <f t="shared" si="6"/>
        <v/>
      </c>
      <c r="BV27" s="10"/>
      <c r="BW27" s="5" t="str">
        <f t="shared" si="7"/>
        <v>X</v>
      </c>
      <c r="BX27" s="5" t="str">
        <f t="shared" si="8"/>
        <v/>
      </c>
      <c r="BY27"/>
      <c r="BZ27" s="5" t="str">
        <f t="shared" si="9"/>
        <v/>
      </c>
      <c r="CA27" s="5" t="str">
        <f t="shared" si="10"/>
        <v/>
      </c>
      <c r="CB27" s="188" t="str">
        <f t="shared" si="11"/>
        <v/>
      </c>
    </row>
    <row r="28" spans="1:80" s="27" customFormat="1" ht="31.5" customHeight="1" x14ac:dyDescent="0.55000000000000004">
      <c r="A28" s="104">
        <v>24</v>
      </c>
      <c r="B28" s="104" t="s">
        <v>75</v>
      </c>
      <c r="C28" s="111" t="s">
        <v>387</v>
      </c>
      <c r="D28" s="104" t="s">
        <v>388</v>
      </c>
      <c r="E28" s="104" t="s">
        <v>389</v>
      </c>
      <c r="F28" s="104" t="s">
        <v>390</v>
      </c>
      <c r="G28" s="104" t="s">
        <v>391</v>
      </c>
      <c r="H28" s="104" t="s">
        <v>392</v>
      </c>
      <c r="I28" s="104" t="s">
        <v>332</v>
      </c>
      <c r="J28" s="104" t="s">
        <v>393</v>
      </c>
      <c r="K28" s="104" t="s">
        <v>88</v>
      </c>
      <c r="L28" s="104"/>
      <c r="M28" s="104"/>
      <c r="N28" s="104" t="s">
        <v>85</v>
      </c>
      <c r="O28" s="104" t="s">
        <v>85</v>
      </c>
      <c r="P28" s="104"/>
      <c r="Q28" s="102"/>
      <c r="R28" s="104"/>
      <c r="S28" s="104" t="s">
        <v>86</v>
      </c>
      <c r="T28" s="104"/>
      <c r="U28" s="104" t="s">
        <v>394</v>
      </c>
      <c r="V28" s="104" t="s">
        <v>173</v>
      </c>
      <c r="W28" s="104" t="s">
        <v>395</v>
      </c>
      <c r="X28" s="104" t="s">
        <v>396</v>
      </c>
      <c r="Y28" s="104" t="s">
        <v>397</v>
      </c>
      <c r="Z28" s="104" t="s">
        <v>398</v>
      </c>
      <c r="AA28" s="104" t="s">
        <v>93</v>
      </c>
      <c r="AB28" s="128">
        <f>LOG(40.6)</f>
        <v>1.608526033577194</v>
      </c>
      <c r="AC28" s="104" t="s">
        <v>399</v>
      </c>
      <c r="AD28" s="104" t="s">
        <v>400</v>
      </c>
      <c r="AE28"/>
      <c r="AF28" s="30" t="str" cm="1">
        <f t="array" ref="AF28">_xlfn.IFS(COUNTIF(Table14623576[[#This Row],[PBT/ vPvB]],"*X*"), 20, TRUE, "")</f>
        <v/>
      </c>
      <c r="AG28" s="30" t="str" cm="1">
        <f t="array" ref="AG28">_xlfn.IFS(COUNTIF(Table14623576[[#This Row],[Perturbateur Endocrinien]],"*X*"), 20, TRUE, "")</f>
        <v/>
      </c>
      <c r="AH28" s="30" t="str" cm="1">
        <f t="array" ref="AH28">_xlfn.IFS(COUNTIF(Table14623576[[#This Row],[Phrases H]],"*H350*"), 20, TRUE, "")</f>
        <v/>
      </c>
      <c r="AI28" s="30" cm="1">
        <f t="array" ref="AI28">_xlfn.IFS(COUNTIF(Table14623576[[#This Row],[Phrases H]],"*H360*"), 20, TRUE, "")</f>
        <v>20</v>
      </c>
      <c r="AJ28" s="30" t="str" cm="1">
        <f t="array" ref="AJ28">_xlfn.IFS(COUNTIF(Table14623576[[#This Row],[Phrases H]],"*H340*"), 20, TRUE, "")</f>
        <v/>
      </c>
      <c r="AK28" s="30" cm="1">
        <f t="array" ref="AK28">_xlfn.IFS(COUNTIF(Table14623576[[#This Row],[Phrases H]],"*H351*"), 10, TRUE, "")</f>
        <v>10</v>
      </c>
      <c r="AL28" s="30" t="str" cm="1">
        <f t="array" ref="AL28">_xlfn.IFS(COUNTIF(Table14623576[[#This Row],[Phrases H]],"*H361*"), 10, TRUE, "")</f>
        <v/>
      </c>
      <c r="AM28" s="30" t="str" cm="1">
        <f t="array" ref="AM28">_xlfn.IFS(COUNTIF(Table14623576[[#This Row],[Phrases H]],"*H362*"), 10, TRUE, "")</f>
        <v/>
      </c>
      <c r="AN28" s="30" t="str" cm="1">
        <f t="array" ref="AN28">_xlfn.IFS(COUNTIF(Table14623576[[#This Row],[Phrases H]],"*H341*"), 10, TRUE, "")</f>
        <v/>
      </c>
      <c r="AO28" s="30" t="str" cm="1">
        <f t="array" ref="AO28">_xlfn.IFS(COUNTIF(Table14623576[[#This Row],[Phrases H]],"*H372*"), 10, TRUE, "")</f>
        <v/>
      </c>
      <c r="AP28" s="30" t="str" cm="1">
        <f t="array" ref="AP28">_xlfn.IFS(COUNTIF(Table14623576[[#This Row],[Phrases H]],"*H410*"), 10, TRUE, "")</f>
        <v/>
      </c>
      <c r="AQ28" s="30" t="str" cm="1">
        <f t="array" ref="AQ28">_xlfn.IFS(COUNTIF(Table14623576[[#This Row],[Phrases H]],"*H373*"), 5, TRUE, "")</f>
        <v/>
      </c>
      <c r="AR28" s="30" cm="1">
        <f t="array" ref="AR28">_xlfn.IFS(COUNTIF(Table14623576[[#This Row],[Phrases H]],"*H411*"), 5, TRUE, "")</f>
        <v>5</v>
      </c>
      <c r="AS28" s="112">
        <f t="shared" si="12"/>
        <v>35</v>
      </c>
      <c r="AT28" s="129">
        <f>LOG(40.6)</f>
        <v>1.608526033577194</v>
      </c>
      <c r="AU28" s="113">
        <v>7820</v>
      </c>
      <c r="AV28" s="114">
        <f t="shared" si="0"/>
        <v>40</v>
      </c>
      <c r="AW28" s="115" t="str">
        <f t="shared" si="1"/>
        <v>20</v>
      </c>
      <c r="AX28" s="116">
        <f t="shared" si="2"/>
        <v>55</v>
      </c>
      <c r="AY28" s="117">
        <f t="shared" si="13"/>
        <v>0.6470588235294118</v>
      </c>
      <c r="AZ28" s="118" t="str">
        <f t="shared" si="14"/>
        <v>2</v>
      </c>
      <c r="BA28" s="119" t="str">
        <f t="shared" si="3"/>
        <v>2</v>
      </c>
      <c r="BB28" s="32"/>
      <c r="BC28" s="113" t="s">
        <v>88</v>
      </c>
      <c r="BD28" s="113" t="s">
        <v>97</v>
      </c>
      <c r="BE28" s="120">
        <f t="shared" si="22"/>
        <v>0</v>
      </c>
      <c r="BF28" s="121" t="str">
        <f t="shared" si="16"/>
        <v>N/A</v>
      </c>
      <c r="BG28" s="122" t="str">
        <f t="shared" si="17"/>
        <v>E</v>
      </c>
      <c r="BH28" s="32"/>
      <c r="BI28" s="7"/>
      <c r="BJ28" s="135">
        <v>0</v>
      </c>
      <c r="BK28" s="7"/>
      <c r="BL28" s="131">
        <v>0</v>
      </c>
      <c r="BM28" s="119" t="s">
        <v>99</v>
      </c>
      <c r="BN28"/>
      <c r="BO28" s="60" t="str">
        <f t="shared" si="20"/>
        <v>Catégorie 2ENON</v>
      </c>
      <c r="BP28"/>
      <c r="BQ28" s="42" t="s">
        <v>150</v>
      </c>
      <c r="BR28"/>
      <c r="BS28" s="187" t="str">
        <f t="shared" si="4"/>
        <v>X</v>
      </c>
      <c r="BT28" s="19" t="str">
        <f t="shared" si="5"/>
        <v>X</v>
      </c>
      <c r="BU28" s="19" t="str">
        <f t="shared" si="6"/>
        <v>X</v>
      </c>
      <c r="BV28" s="10"/>
      <c r="BW28" s="5" t="str">
        <f t="shared" si="7"/>
        <v>X</v>
      </c>
      <c r="BX28" s="5" t="str">
        <f t="shared" si="8"/>
        <v/>
      </c>
      <c r="BY28"/>
      <c r="BZ28" s="5" t="str">
        <f t="shared" si="9"/>
        <v/>
      </c>
      <c r="CA28" s="5" t="str">
        <f t="shared" si="10"/>
        <v/>
      </c>
      <c r="CB28" s="188" t="str">
        <f t="shared" si="11"/>
        <v/>
      </c>
    </row>
    <row r="29" spans="1:80" s="27" customFormat="1" ht="48" customHeight="1" x14ac:dyDescent="0.55000000000000004">
      <c r="A29" s="104">
        <v>25</v>
      </c>
      <c r="B29" s="104" t="s">
        <v>75</v>
      </c>
      <c r="C29" s="111" t="s">
        <v>401</v>
      </c>
      <c r="D29" s="104" t="s">
        <v>402</v>
      </c>
      <c r="E29" s="104" t="s">
        <v>403</v>
      </c>
      <c r="F29" s="104" t="s">
        <v>404</v>
      </c>
      <c r="G29" s="104" t="s">
        <v>405</v>
      </c>
      <c r="H29" s="104" t="s">
        <v>406</v>
      </c>
      <c r="I29" s="104" t="s">
        <v>332</v>
      </c>
      <c r="J29" s="104" t="s">
        <v>407</v>
      </c>
      <c r="K29" s="104" t="s">
        <v>408</v>
      </c>
      <c r="L29" s="104"/>
      <c r="M29" s="104"/>
      <c r="N29" s="104" t="s">
        <v>85</v>
      </c>
      <c r="O29" s="104"/>
      <c r="P29" s="104" t="s">
        <v>85</v>
      </c>
      <c r="Q29" s="102"/>
      <c r="R29" s="104"/>
      <c r="S29" s="104" t="s">
        <v>187</v>
      </c>
      <c r="T29" s="104"/>
      <c r="U29" s="104" t="s">
        <v>409</v>
      </c>
      <c r="V29" s="104" t="s">
        <v>93</v>
      </c>
      <c r="W29" s="104" t="s">
        <v>410</v>
      </c>
      <c r="X29" s="104" t="s">
        <v>348</v>
      </c>
      <c r="Y29" s="104" t="s">
        <v>411</v>
      </c>
      <c r="Z29" s="104" t="s">
        <v>412</v>
      </c>
      <c r="AA29" s="104" t="s">
        <v>93</v>
      </c>
      <c r="AB29" s="128">
        <f>LOG(229)</f>
        <v>2.3598354823398879</v>
      </c>
      <c r="AC29" s="104" t="s">
        <v>413</v>
      </c>
      <c r="AD29" s="104" t="s">
        <v>414</v>
      </c>
      <c r="AE29"/>
      <c r="AF29" s="30" t="str" cm="1">
        <f t="array" ref="AF29">_xlfn.IFS(COUNTIF(Table14623576[[#This Row],[PBT/ vPvB]],"*X*"), 20, TRUE, "")</f>
        <v/>
      </c>
      <c r="AG29" s="30" t="str" cm="1">
        <f t="array" ref="AG29">_xlfn.IFS(COUNTIF(Table14623576[[#This Row],[Perturbateur Endocrinien]],"*X*"), 20, TRUE, "")</f>
        <v/>
      </c>
      <c r="AH29" s="30" t="str" cm="1">
        <f t="array" ref="AH29">_xlfn.IFS(COUNTIF(Table14623576[[#This Row],[Phrases H]],"*H350*"), 20, TRUE, "")</f>
        <v/>
      </c>
      <c r="AI29" s="30" t="str" cm="1">
        <f t="array" ref="AI29">_xlfn.IFS(COUNTIF(Table14623576[[#This Row],[Phrases H]],"*H360*"), 20, TRUE, "")</f>
        <v/>
      </c>
      <c r="AJ29" s="30" t="str" cm="1">
        <f t="array" ref="AJ29">_xlfn.IFS(COUNTIF(Table14623576[[#This Row],[Phrases H]],"*H340*"), 20, TRUE, "")</f>
        <v/>
      </c>
      <c r="AK29" s="30" t="str" cm="1">
        <f t="array" ref="AK29">_xlfn.IFS(COUNTIF(Table14623576[[#This Row],[Phrases H]],"*H351*"), 10, TRUE, "")</f>
        <v/>
      </c>
      <c r="AL29" s="30" t="str" cm="1">
        <f t="array" ref="AL29">_xlfn.IFS(COUNTIF(Table14623576[[#This Row],[Phrases H]],"*H361*"), 10, TRUE, "")</f>
        <v/>
      </c>
      <c r="AM29" s="30" t="str" cm="1">
        <f t="array" ref="AM29">_xlfn.IFS(COUNTIF(Table14623576[[#This Row],[Phrases H]],"*H362*"), 10, TRUE, "")</f>
        <v/>
      </c>
      <c r="AN29" s="30" t="str" cm="1">
        <f t="array" ref="AN29">_xlfn.IFS(COUNTIF(Table14623576[[#This Row],[Phrases H]],"*H341*"), 10, TRUE, "")</f>
        <v/>
      </c>
      <c r="AO29" s="30" t="str" cm="1">
        <f t="array" ref="AO29">_xlfn.IFS(COUNTIF(Table14623576[[#This Row],[Phrases H]],"*H372*"), 10, TRUE, "")</f>
        <v/>
      </c>
      <c r="AP29" s="30" t="str" cm="1">
        <f t="array" ref="AP29">_xlfn.IFS(COUNTIF(Table14623576[[#This Row],[Phrases H]],"*H410*"), 10, TRUE, "")</f>
        <v/>
      </c>
      <c r="AQ29" s="30" t="str" cm="1">
        <f t="array" ref="AQ29">_xlfn.IFS(COUNTIF(Table14623576[[#This Row],[Phrases H]],"*H373*"), 5, TRUE, "")</f>
        <v/>
      </c>
      <c r="AR29" s="30" t="str" cm="1">
        <f t="array" ref="AR29">_xlfn.IFS(COUNTIF(Table14623576[[#This Row],[Phrases H]],"*H411*"), 5, TRUE, "")</f>
        <v/>
      </c>
      <c r="AS29" s="112">
        <f t="shared" si="12"/>
        <v>0</v>
      </c>
      <c r="AT29" s="129">
        <f>LOG(229)</f>
        <v>2.3598354823398879</v>
      </c>
      <c r="AU29" s="113">
        <v>1080</v>
      </c>
      <c r="AV29" s="114">
        <f t="shared" si="0"/>
        <v>40</v>
      </c>
      <c r="AW29" s="115" t="str">
        <f t="shared" si="1"/>
        <v>10</v>
      </c>
      <c r="AX29" s="116">
        <f t="shared" si="2"/>
        <v>10</v>
      </c>
      <c r="AY29" s="117">
        <f t="shared" si="13"/>
        <v>0.11764705882352941</v>
      </c>
      <c r="AZ29" s="118" t="str">
        <f t="shared" si="14"/>
        <v>5</v>
      </c>
      <c r="BA29" s="119" t="str">
        <f t="shared" si="3"/>
        <v>5</v>
      </c>
      <c r="BB29" s="32"/>
      <c r="BC29" s="113">
        <v>0</v>
      </c>
      <c r="BD29" s="113" t="s">
        <v>97</v>
      </c>
      <c r="BE29" s="120">
        <f t="shared" si="22"/>
        <v>5</v>
      </c>
      <c r="BF29" s="121" t="str">
        <f t="shared" si="16"/>
        <v>Très faible production</v>
      </c>
      <c r="BG29" s="122" t="str">
        <f t="shared" si="17"/>
        <v>E</v>
      </c>
      <c r="BH29" s="32"/>
      <c r="BI29" s="7" t="s">
        <v>415</v>
      </c>
      <c r="BJ29" s="130">
        <v>1</v>
      </c>
      <c r="BK29" s="7" t="s">
        <v>415</v>
      </c>
      <c r="BL29" s="131">
        <v>1</v>
      </c>
      <c r="BM29" s="132" t="s">
        <v>131</v>
      </c>
      <c r="BN29"/>
      <c r="BO29" s="60" t="str">
        <f t="shared" ref="BO29:BO50" si="25">_xlfn.CONCAT("Catégorie ", BA29,BG29," ",BM29)</f>
        <v>Catégorie 5E OUI</v>
      </c>
      <c r="BP29"/>
      <c r="BQ29" s="42" t="s">
        <v>150</v>
      </c>
      <c r="BR29"/>
      <c r="BS29" s="187" t="str">
        <f t="shared" si="4"/>
        <v/>
      </c>
      <c r="BT29" s="19" t="str">
        <f t="shared" si="5"/>
        <v/>
      </c>
      <c r="BU29" s="19" t="str">
        <f t="shared" si="6"/>
        <v/>
      </c>
      <c r="BV29" s="10"/>
      <c r="BW29" s="5" t="str">
        <f t="shared" si="7"/>
        <v>X</v>
      </c>
      <c r="BX29" s="5" t="str">
        <f t="shared" si="8"/>
        <v>X</v>
      </c>
      <c r="BY29"/>
      <c r="BZ29" s="5" t="str">
        <f t="shared" si="9"/>
        <v>X</v>
      </c>
      <c r="CA29" s="5" t="str">
        <f t="shared" si="10"/>
        <v>X</v>
      </c>
      <c r="CB29" s="188" t="str">
        <f t="shared" si="11"/>
        <v>X</v>
      </c>
    </row>
    <row r="30" spans="1:80" s="27" customFormat="1" ht="34" customHeight="1" x14ac:dyDescent="0.55000000000000004">
      <c r="A30" s="104">
        <v>26</v>
      </c>
      <c r="B30" s="104" t="s">
        <v>75</v>
      </c>
      <c r="C30" s="111" t="s">
        <v>416</v>
      </c>
      <c r="D30" s="104" t="s">
        <v>417</v>
      </c>
      <c r="E30" s="104" t="s">
        <v>418</v>
      </c>
      <c r="F30" s="104" t="s">
        <v>419</v>
      </c>
      <c r="G30" s="104" t="s">
        <v>88</v>
      </c>
      <c r="H30" s="104" t="s">
        <v>88</v>
      </c>
      <c r="I30" s="104" t="s">
        <v>332</v>
      </c>
      <c r="J30" s="104" t="s">
        <v>407</v>
      </c>
      <c r="K30" s="104" t="s">
        <v>420</v>
      </c>
      <c r="L30" s="104"/>
      <c r="M30" s="104"/>
      <c r="N30" s="104"/>
      <c r="O30" s="104"/>
      <c r="P30" s="104"/>
      <c r="Q30" s="102"/>
      <c r="R30" s="104"/>
      <c r="S30" s="104" t="s">
        <v>86</v>
      </c>
      <c r="T30" s="104" t="s">
        <v>85</v>
      </c>
      <c r="U30" s="104" t="s">
        <v>421</v>
      </c>
      <c r="V30" s="104" t="s">
        <v>173</v>
      </c>
      <c r="W30" s="104" t="s">
        <v>422</v>
      </c>
      <c r="X30" s="104" t="s">
        <v>423</v>
      </c>
      <c r="Y30" s="104" t="s">
        <v>424</v>
      </c>
      <c r="Z30" s="104" t="s">
        <v>412</v>
      </c>
      <c r="AA30" s="104">
        <v>30</v>
      </c>
      <c r="AB30" s="136">
        <f>LOG(324.2)</f>
        <v>2.5108130105124959</v>
      </c>
      <c r="AC30" s="104" t="s">
        <v>425</v>
      </c>
      <c r="AD30" s="104" t="s">
        <v>426</v>
      </c>
      <c r="AE30"/>
      <c r="AF30" s="30" t="str" cm="1">
        <f t="array" ref="AF30">_xlfn.IFS(COUNTIF(Table14623576[[#This Row],[PBT/ vPvB]],"*X*"), 20, TRUE, "")</f>
        <v/>
      </c>
      <c r="AG30" s="30" cm="1">
        <f t="array" ref="AG30">_xlfn.IFS(COUNTIF(Table14623576[[#This Row],[Perturbateur Endocrinien]],"*X*"), 20, TRUE, "")</f>
        <v>20</v>
      </c>
      <c r="AH30" s="30" t="str" cm="1">
        <f t="array" ref="AH30">_xlfn.IFS(COUNTIF(Table14623576[[#This Row],[Phrases H]],"*H350*"), 20, TRUE, "")</f>
        <v/>
      </c>
      <c r="AI30" s="30" t="str" cm="1">
        <f t="array" ref="AI30">_xlfn.IFS(COUNTIF(Table14623576[[#This Row],[Phrases H]],"*H360*"), 20, TRUE, "")</f>
        <v/>
      </c>
      <c r="AJ30" s="30" t="str" cm="1">
        <f t="array" ref="AJ30">_xlfn.IFS(COUNTIF(Table14623576[[#This Row],[Phrases H]],"*H340*"), 20, TRUE, "")</f>
        <v/>
      </c>
      <c r="AK30" s="30" cm="1">
        <f t="array" ref="AK30">_xlfn.IFS(COUNTIF(Table14623576[[#This Row],[Phrases H]],"*H351*"), 10, TRUE, "")</f>
        <v>10</v>
      </c>
      <c r="AL30" s="30" t="str" cm="1">
        <f t="array" ref="AL30">_xlfn.IFS(COUNTIF(Table14623576[[#This Row],[Phrases H]],"*H361*"), 10, TRUE, "")</f>
        <v/>
      </c>
      <c r="AM30" s="30" t="str" cm="1">
        <f t="array" ref="AM30">_xlfn.IFS(COUNTIF(Table14623576[[#This Row],[Phrases H]],"*H362*"), 10, TRUE, "")</f>
        <v/>
      </c>
      <c r="AN30" s="30" t="str" cm="1">
        <f t="array" ref="AN30">_xlfn.IFS(COUNTIF(Table14623576[[#This Row],[Phrases H]],"*H341*"), 10, TRUE, "")</f>
        <v/>
      </c>
      <c r="AO30" s="30" t="str" cm="1">
        <f t="array" ref="AO30">_xlfn.IFS(COUNTIF(Table14623576[[#This Row],[Phrases H]],"*H372*"), 10, TRUE, "")</f>
        <v/>
      </c>
      <c r="AP30" s="30" t="str" cm="1">
        <f t="array" ref="AP30">_xlfn.IFS(COUNTIF(Table14623576[[#This Row],[Phrases H]],"*H410*"), 10, TRUE, "")</f>
        <v/>
      </c>
      <c r="AQ30" s="30" t="str" cm="1">
        <f t="array" ref="AQ30">_xlfn.IFS(COUNTIF(Table14623576[[#This Row],[Phrases H]],"*H373*"), 5, TRUE, "")</f>
        <v/>
      </c>
      <c r="AR30" s="30" t="str" cm="1">
        <f t="array" ref="AR30">_xlfn.IFS(COUNTIF(Table14623576[[#This Row],[Phrases H]],"*H411*"), 5, TRUE, "")</f>
        <v/>
      </c>
      <c r="AS30" s="112">
        <f t="shared" si="12"/>
        <v>30</v>
      </c>
      <c r="AT30" s="137">
        <f>LOG(324.2)</f>
        <v>2.5108130105124959</v>
      </c>
      <c r="AU30" s="113">
        <v>1080</v>
      </c>
      <c r="AV30" s="114">
        <f t="shared" si="0"/>
        <v>40</v>
      </c>
      <c r="AW30" s="115" t="str">
        <f t="shared" si="1"/>
        <v>10</v>
      </c>
      <c r="AX30" s="116">
        <f t="shared" si="2"/>
        <v>40</v>
      </c>
      <c r="AY30" s="117">
        <f t="shared" si="13"/>
        <v>0.47058823529411764</v>
      </c>
      <c r="AZ30" s="118" t="str">
        <f t="shared" si="14"/>
        <v>3</v>
      </c>
      <c r="BA30" s="119" t="str">
        <f t="shared" si="3"/>
        <v>3</v>
      </c>
      <c r="BB30" s="32"/>
      <c r="BC30" s="113">
        <v>100000</v>
      </c>
      <c r="BD30" s="113" t="s">
        <v>97</v>
      </c>
      <c r="BE30" s="120">
        <f t="shared" si="22"/>
        <v>25</v>
      </c>
      <c r="BF30" s="121" t="str">
        <f t="shared" si="16"/>
        <v>Production très élevée</v>
      </c>
      <c r="BG30" s="122" t="str">
        <f t="shared" si="17"/>
        <v>A</v>
      </c>
      <c r="BH30" s="32"/>
      <c r="BI30" s="7"/>
      <c r="BJ30" s="5">
        <v>0</v>
      </c>
      <c r="BK30" s="7"/>
      <c r="BL30" s="131">
        <v>0</v>
      </c>
      <c r="BM30" s="132" t="s">
        <v>99</v>
      </c>
      <c r="BN30"/>
      <c r="BO30" s="60" t="str">
        <f t="shared" si="25"/>
        <v>Catégorie 3A NON</v>
      </c>
      <c r="BP30"/>
      <c r="BQ30" s="42" t="s">
        <v>88</v>
      </c>
      <c r="BR30"/>
      <c r="BS30" s="187" t="str">
        <f t="shared" si="4"/>
        <v>X</v>
      </c>
      <c r="BT30" s="19" t="str">
        <f t="shared" si="5"/>
        <v/>
      </c>
      <c r="BU30" s="19" t="str">
        <f t="shared" si="6"/>
        <v/>
      </c>
      <c r="BV30" s="10"/>
      <c r="BW30" s="5" t="str">
        <f t="shared" si="7"/>
        <v/>
      </c>
      <c r="BX30" s="5" t="str">
        <f t="shared" si="8"/>
        <v/>
      </c>
      <c r="BY30"/>
      <c r="BZ30" s="5" t="str">
        <f t="shared" si="9"/>
        <v>X</v>
      </c>
      <c r="CA30" s="5" t="str">
        <f t="shared" si="10"/>
        <v/>
      </c>
      <c r="CB30" s="188" t="str">
        <f t="shared" si="11"/>
        <v/>
      </c>
    </row>
    <row r="31" spans="1:80" s="27" customFormat="1" ht="28.5" customHeight="1" x14ac:dyDescent="0.55000000000000004">
      <c r="A31" s="104">
        <v>27</v>
      </c>
      <c r="B31" s="104" t="s">
        <v>75</v>
      </c>
      <c r="C31" s="111" t="s">
        <v>427</v>
      </c>
      <c r="D31" s="104" t="s">
        <v>428</v>
      </c>
      <c r="E31" s="104" t="s">
        <v>429</v>
      </c>
      <c r="F31" s="104" t="s">
        <v>430</v>
      </c>
      <c r="G31" s="104" t="s">
        <v>431</v>
      </c>
      <c r="H31" s="104" t="s">
        <v>88</v>
      </c>
      <c r="I31" s="104" t="s">
        <v>332</v>
      </c>
      <c r="J31" s="104" t="s">
        <v>407</v>
      </c>
      <c r="K31" s="104" t="s">
        <v>292</v>
      </c>
      <c r="L31" s="104"/>
      <c r="M31" s="104"/>
      <c r="N31" s="104" t="s">
        <v>85</v>
      </c>
      <c r="O31" s="104"/>
      <c r="P31" s="104"/>
      <c r="Q31" s="102"/>
      <c r="R31" s="104"/>
      <c r="S31" s="104" t="s">
        <v>86</v>
      </c>
      <c r="T31" s="104"/>
      <c r="U31" s="104" t="s">
        <v>432</v>
      </c>
      <c r="V31" s="104" t="s">
        <v>173</v>
      </c>
      <c r="W31" s="104" t="s">
        <v>433</v>
      </c>
      <c r="X31" s="104" t="s">
        <v>110</v>
      </c>
      <c r="Y31" s="104" t="s">
        <v>434</v>
      </c>
      <c r="Z31" s="104" t="s">
        <v>435</v>
      </c>
      <c r="AA31" s="104">
        <v>25</v>
      </c>
      <c r="AB31" s="128">
        <f>LOG(1780)</f>
        <v>3.2504200023088941</v>
      </c>
      <c r="AC31" s="104" t="s">
        <v>436</v>
      </c>
      <c r="AD31" s="104" t="s">
        <v>437</v>
      </c>
      <c r="AE31"/>
      <c r="AF31" s="30" t="str" cm="1">
        <f t="array" ref="AF31">_xlfn.IFS(COUNTIF(Table14623576[[#This Row],[PBT/ vPvB]],"*X*"), 20, TRUE, "")</f>
        <v/>
      </c>
      <c r="AG31" s="30" t="str" cm="1">
        <f t="array" ref="AG31">_xlfn.IFS(COUNTIF(Table14623576[[#This Row],[Perturbateur Endocrinien]],"*X*"), 20, TRUE, "")</f>
        <v/>
      </c>
      <c r="AH31" s="30" t="str" cm="1">
        <f t="array" ref="AH31">_xlfn.IFS(COUNTIF(Table14623576[[#This Row],[Phrases H]],"*H350*"), 20, TRUE, "")</f>
        <v/>
      </c>
      <c r="AI31" s="30" t="str" cm="1">
        <f t="array" ref="AI31">_xlfn.IFS(COUNTIF(Table14623576[[#This Row],[Phrases H]],"*H360*"), 20, TRUE, "")</f>
        <v/>
      </c>
      <c r="AJ31" s="30" t="str" cm="1">
        <f t="array" ref="AJ31">_xlfn.IFS(COUNTIF(Table14623576[[#This Row],[Phrases H]],"*H340*"), 20, TRUE, "")</f>
        <v/>
      </c>
      <c r="AK31" s="30" cm="1">
        <f t="array" ref="AK31">_xlfn.IFS(COUNTIF(Table14623576[[#This Row],[Phrases H]],"*H351*"), 10, TRUE, "")</f>
        <v>10</v>
      </c>
      <c r="AL31" s="30" t="str" cm="1">
        <f t="array" ref="AL31">_xlfn.IFS(COUNTIF(Table14623576[[#This Row],[Phrases H]],"*H361*"), 10, TRUE, "")</f>
        <v/>
      </c>
      <c r="AM31" s="30" t="str" cm="1">
        <f t="array" ref="AM31">_xlfn.IFS(COUNTIF(Table14623576[[#This Row],[Phrases H]],"*H362*"), 10, TRUE, "")</f>
        <v/>
      </c>
      <c r="AN31" s="30" t="str" cm="1">
        <f t="array" ref="AN31">_xlfn.IFS(COUNTIF(Table14623576[[#This Row],[Phrases H]],"*H341*"), 10, TRUE, "")</f>
        <v/>
      </c>
      <c r="AO31" s="30" t="str" cm="1">
        <f t="array" ref="AO31">_xlfn.IFS(COUNTIF(Table14623576[[#This Row],[Phrases H]],"*H372*"), 10, TRUE, "")</f>
        <v/>
      </c>
      <c r="AP31" s="30" cm="1">
        <f t="array" ref="AP31">_xlfn.IFS(COUNTIF(Table14623576[[#This Row],[Phrases H]],"*H410*"), 10, TRUE, "")</f>
        <v>10</v>
      </c>
      <c r="AQ31" s="30" t="str" cm="1">
        <f t="array" ref="AQ31">_xlfn.IFS(COUNTIF(Table14623576[[#This Row],[Phrases H]],"*H373*"), 5, TRUE, "")</f>
        <v/>
      </c>
      <c r="AR31" s="30" t="str" cm="1">
        <f t="array" ref="AR31">_xlfn.IFS(COUNTIF(Table14623576[[#This Row],[Phrases H]],"*H411*"), 5, TRUE, "")</f>
        <v/>
      </c>
      <c r="AS31" s="112">
        <f t="shared" si="12"/>
        <v>20</v>
      </c>
      <c r="AT31" s="129">
        <f>LOG(1780)</f>
        <v>3.2504200023088941</v>
      </c>
      <c r="AU31" s="113">
        <v>18.100000000000001</v>
      </c>
      <c r="AV31" s="114">
        <f t="shared" si="0"/>
        <v>30</v>
      </c>
      <c r="AW31" s="115" t="str">
        <f t="shared" si="1"/>
        <v>0</v>
      </c>
      <c r="AX31" s="116">
        <f t="shared" si="2"/>
        <v>20</v>
      </c>
      <c r="AY31" s="117">
        <f t="shared" si="13"/>
        <v>0.23529411764705882</v>
      </c>
      <c r="AZ31" s="118" t="str">
        <f t="shared" si="14"/>
        <v>4</v>
      </c>
      <c r="BA31" s="119" t="str">
        <f t="shared" si="3"/>
        <v>4</v>
      </c>
      <c r="BB31" s="32"/>
      <c r="BC31" s="113">
        <v>10000</v>
      </c>
      <c r="BD31" s="113" t="s">
        <v>97</v>
      </c>
      <c r="BE31" s="120">
        <f t="shared" si="22"/>
        <v>20</v>
      </c>
      <c r="BF31" s="121" t="str">
        <f t="shared" si="16"/>
        <v>Production élevée</v>
      </c>
      <c r="BG31" s="122" t="str">
        <f t="shared" si="17"/>
        <v>B</v>
      </c>
      <c r="BH31" s="32"/>
      <c r="BI31" s="7"/>
      <c r="BJ31" s="5">
        <v>0</v>
      </c>
      <c r="BK31" s="7"/>
      <c r="BL31" s="131">
        <v>0</v>
      </c>
      <c r="BM31" s="132" t="s">
        <v>99</v>
      </c>
      <c r="BN31"/>
      <c r="BO31" s="60" t="str">
        <f t="shared" si="25"/>
        <v>Catégorie 4B NON</v>
      </c>
      <c r="BP31"/>
      <c r="BQ31" s="42" t="s">
        <v>150</v>
      </c>
      <c r="BR31"/>
      <c r="BS31" s="187" t="str">
        <f t="shared" si="4"/>
        <v/>
      </c>
      <c r="BT31" s="19" t="str">
        <f t="shared" si="5"/>
        <v/>
      </c>
      <c r="BU31" s="19" t="str">
        <f t="shared" si="6"/>
        <v/>
      </c>
      <c r="BV31" s="10"/>
      <c r="BW31" s="5" t="str">
        <f t="shared" si="7"/>
        <v/>
      </c>
      <c r="BX31" s="5" t="str">
        <f t="shared" si="8"/>
        <v/>
      </c>
      <c r="BY31"/>
      <c r="BZ31" s="5" t="str">
        <f t="shared" si="9"/>
        <v/>
      </c>
      <c r="CA31" s="5" t="str">
        <f t="shared" si="10"/>
        <v/>
      </c>
      <c r="CB31" s="188" t="str">
        <f t="shared" si="11"/>
        <v/>
      </c>
    </row>
    <row r="32" spans="1:80" s="27" customFormat="1" ht="54" customHeight="1" x14ac:dyDescent="0.55000000000000004">
      <c r="A32" s="104">
        <v>28</v>
      </c>
      <c r="B32" s="104" t="s">
        <v>75</v>
      </c>
      <c r="C32" s="111" t="s">
        <v>438</v>
      </c>
      <c r="D32" s="104" t="s">
        <v>439</v>
      </c>
      <c r="E32" s="104" t="s">
        <v>440</v>
      </c>
      <c r="F32" s="104" t="s">
        <v>441</v>
      </c>
      <c r="G32" s="104" t="s">
        <v>442</v>
      </c>
      <c r="H32" s="104" t="s">
        <v>443</v>
      </c>
      <c r="I32" s="104" t="s">
        <v>332</v>
      </c>
      <c r="J32" s="104" t="s">
        <v>444</v>
      </c>
      <c r="K32" s="104" t="s">
        <v>420</v>
      </c>
      <c r="L32" s="104"/>
      <c r="M32" s="104"/>
      <c r="N32" s="104" t="s">
        <v>85</v>
      </c>
      <c r="O32" s="104"/>
      <c r="P32" s="104" t="s">
        <v>85</v>
      </c>
      <c r="Q32" s="102"/>
      <c r="R32" s="104"/>
      <c r="S32" s="104" t="s">
        <v>345</v>
      </c>
      <c r="T32" s="104"/>
      <c r="U32" s="104" t="s">
        <v>445</v>
      </c>
      <c r="V32" s="104" t="s">
        <v>122</v>
      </c>
      <c r="W32" s="138" t="s">
        <v>446</v>
      </c>
      <c r="X32" s="104" t="s">
        <v>447</v>
      </c>
      <c r="Y32" s="104" t="s">
        <v>448</v>
      </c>
      <c r="Z32" s="104" t="s">
        <v>449</v>
      </c>
      <c r="AA32" s="104" t="s">
        <v>93</v>
      </c>
      <c r="AB32" s="128">
        <v>1.81</v>
      </c>
      <c r="AC32" s="104" t="s">
        <v>450</v>
      </c>
      <c r="AD32" s="104" t="s">
        <v>451</v>
      </c>
      <c r="AE32"/>
      <c r="AF32" s="30" t="str" cm="1">
        <f t="array" ref="AF32">_xlfn.IFS(COUNTIF(Table14623576[[#This Row],[PBT/ vPvB]],"*X*"), 20, TRUE, "")</f>
        <v/>
      </c>
      <c r="AG32" s="30" t="str" cm="1">
        <f t="array" ref="AG32">_xlfn.IFS(COUNTIF(Table14623576[[#This Row],[Perturbateur Endocrinien]],"*X*"), 20, TRUE, "")</f>
        <v/>
      </c>
      <c r="AH32" s="30" t="str" cm="1">
        <f t="array" ref="AH32">_xlfn.IFS(COUNTIF(Table14623576[[#This Row],[Phrases H]],"*H350*"), 20, TRUE, "")</f>
        <v/>
      </c>
      <c r="AI32" s="30" t="str" cm="1">
        <f t="array" ref="AI32">_xlfn.IFS(COUNTIF(Table14623576[[#This Row],[Phrases H]],"*H360*"), 20, TRUE, "")</f>
        <v/>
      </c>
      <c r="AJ32" s="30" t="str" cm="1">
        <f t="array" ref="AJ32">_xlfn.IFS(COUNTIF(Table14623576[[#This Row],[Phrases H]],"*H340*"), 20, TRUE, "")</f>
        <v/>
      </c>
      <c r="AK32" s="30" t="str" cm="1">
        <f t="array" ref="AK32">_xlfn.IFS(COUNTIF(Table14623576[[#This Row],[Phrases H]],"*H351*"), 10, TRUE, "")</f>
        <v/>
      </c>
      <c r="AL32" s="30" t="str" cm="1">
        <f t="array" ref="AL32">_xlfn.IFS(COUNTIF(Table14623576[[#This Row],[Phrases H]],"*H361*"), 10, TRUE, "")</f>
        <v/>
      </c>
      <c r="AM32" s="30" t="str" cm="1">
        <f t="array" ref="AM32">_xlfn.IFS(COUNTIF(Table14623576[[#This Row],[Phrases H]],"*H362*"), 10, TRUE, "")</f>
        <v/>
      </c>
      <c r="AN32" s="30" t="str" cm="1">
        <f t="array" ref="AN32">_xlfn.IFS(COUNTIF(Table14623576[[#This Row],[Phrases H]],"*H341*"), 10, TRUE, "")</f>
        <v/>
      </c>
      <c r="AO32" s="30" t="str" cm="1">
        <f t="array" ref="AO32">_xlfn.IFS(COUNTIF(Table14623576[[#This Row],[Phrases H]],"*H372*"), 10, TRUE, "")</f>
        <v/>
      </c>
      <c r="AP32" s="30" t="str" cm="1">
        <f t="array" ref="AP32">_xlfn.IFS(COUNTIF(Table14623576[[#This Row],[Phrases H]],"*H410*"), 10, TRUE, "")</f>
        <v/>
      </c>
      <c r="AQ32" s="30" t="str" cm="1">
        <f t="array" ref="AQ32">_xlfn.IFS(COUNTIF(Table14623576[[#This Row],[Phrases H]],"*H373*"), 5, TRUE, "")</f>
        <v/>
      </c>
      <c r="AR32" s="30" t="str" cm="1">
        <f t="array" ref="AR32">_xlfn.IFS(COUNTIF(Table14623576[[#This Row],[Phrases H]],"*H411*"), 5, TRUE, "")</f>
        <v/>
      </c>
      <c r="AS32" s="112">
        <f t="shared" si="12"/>
        <v>0</v>
      </c>
      <c r="AT32" s="129">
        <v>1.81</v>
      </c>
      <c r="AU32" s="139">
        <v>500000</v>
      </c>
      <c r="AV32" s="114">
        <f t="shared" si="0"/>
        <v>50</v>
      </c>
      <c r="AW32" s="115" t="str">
        <f t="shared" si="1"/>
        <v>20</v>
      </c>
      <c r="AX32" s="116">
        <f t="shared" si="2"/>
        <v>20</v>
      </c>
      <c r="AY32" s="117">
        <f t="shared" si="13"/>
        <v>0.23529411764705882</v>
      </c>
      <c r="AZ32" s="118" t="str">
        <f t="shared" si="14"/>
        <v>4</v>
      </c>
      <c r="BA32" s="119" t="str">
        <f t="shared" si="3"/>
        <v>4</v>
      </c>
      <c r="BB32" s="32"/>
      <c r="BC32" s="113">
        <v>100000</v>
      </c>
      <c r="BD32" s="113" t="s">
        <v>97</v>
      </c>
      <c r="BE32" s="120">
        <f t="shared" si="22"/>
        <v>25</v>
      </c>
      <c r="BF32" s="121" t="str">
        <f t="shared" si="16"/>
        <v>Production très élevée</v>
      </c>
      <c r="BG32" s="122" t="str">
        <f t="shared" si="17"/>
        <v>A</v>
      </c>
      <c r="BH32" s="32"/>
      <c r="BI32" s="7"/>
      <c r="BJ32" s="5">
        <v>0</v>
      </c>
      <c r="BK32" s="7"/>
      <c r="BL32" s="131">
        <v>0</v>
      </c>
      <c r="BM32" s="132" t="s">
        <v>99</v>
      </c>
      <c r="BN32"/>
      <c r="BO32" s="60" t="str">
        <f t="shared" si="25"/>
        <v>Catégorie 4A NON</v>
      </c>
      <c r="BP32"/>
      <c r="BQ32" s="42" t="s">
        <v>88</v>
      </c>
      <c r="BR32"/>
      <c r="BS32" s="187" t="str">
        <f t="shared" si="4"/>
        <v/>
      </c>
      <c r="BT32" s="19" t="str">
        <f t="shared" si="5"/>
        <v/>
      </c>
      <c r="BU32" s="19" t="str">
        <f t="shared" si="6"/>
        <v/>
      </c>
      <c r="BV32" s="10"/>
      <c r="BW32" s="5" t="str">
        <f t="shared" si="7"/>
        <v/>
      </c>
      <c r="BX32" s="5" t="str">
        <f t="shared" si="8"/>
        <v/>
      </c>
      <c r="BY32"/>
      <c r="BZ32" s="5" t="str">
        <f t="shared" si="9"/>
        <v/>
      </c>
      <c r="CA32" s="5" t="str">
        <f t="shared" si="10"/>
        <v/>
      </c>
      <c r="CB32" s="188" t="str">
        <f t="shared" si="11"/>
        <v/>
      </c>
    </row>
    <row r="33" spans="1:80" s="27" customFormat="1" ht="49" customHeight="1" x14ac:dyDescent="0.55000000000000004">
      <c r="A33" s="104">
        <v>29</v>
      </c>
      <c r="B33" s="104" t="s">
        <v>75</v>
      </c>
      <c r="C33" s="111" t="s">
        <v>452</v>
      </c>
      <c r="D33" s="134" t="s">
        <v>77</v>
      </c>
      <c r="E33" s="104" t="s">
        <v>453</v>
      </c>
      <c r="F33" s="104" t="s">
        <v>454</v>
      </c>
      <c r="G33" s="104" t="s">
        <v>455</v>
      </c>
      <c r="H33" s="104" t="s">
        <v>456</v>
      </c>
      <c r="I33" s="104" t="s">
        <v>332</v>
      </c>
      <c r="J33" s="104" t="s">
        <v>444</v>
      </c>
      <c r="K33" s="104" t="s">
        <v>292</v>
      </c>
      <c r="L33" s="104"/>
      <c r="M33" s="104"/>
      <c r="N33" s="104" t="s">
        <v>85</v>
      </c>
      <c r="O33" s="104"/>
      <c r="P33" s="104"/>
      <c r="Q33" s="102"/>
      <c r="R33" s="104"/>
      <c r="S33" s="104" t="s">
        <v>86</v>
      </c>
      <c r="T33" s="104"/>
      <c r="U33" s="104" t="s">
        <v>457</v>
      </c>
      <c r="V33" s="104" t="s">
        <v>173</v>
      </c>
      <c r="W33" s="104" t="s">
        <v>458</v>
      </c>
      <c r="X33" s="104" t="s">
        <v>278</v>
      </c>
      <c r="Y33" s="104" t="s">
        <v>459</v>
      </c>
      <c r="Z33" s="104" t="s">
        <v>460</v>
      </c>
      <c r="AA33" s="104">
        <v>25</v>
      </c>
      <c r="AB33" s="104">
        <f>LOG(10000)</f>
        <v>4</v>
      </c>
      <c r="AC33" s="104">
        <v>10000</v>
      </c>
      <c r="AD33" s="104" t="s">
        <v>451</v>
      </c>
      <c r="AE33"/>
      <c r="AF33" s="30" t="str" cm="1">
        <f t="array" ref="AF33">_xlfn.IFS(COUNTIF(Table14623576[[#This Row],[PBT/ vPvB]],"*X*"), 20, TRUE, "")</f>
        <v/>
      </c>
      <c r="AG33" s="30" t="str" cm="1">
        <f t="array" ref="AG33">_xlfn.IFS(COUNTIF(Table14623576[[#This Row],[Perturbateur Endocrinien]],"*X*"), 20, TRUE, "")</f>
        <v/>
      </c>
      <c r="AH33" s="30" t="str" cm="1">
        <f t="array" ref="AH33">_xlfn.IFS(COUNTIF(Table14623576[[#This Row],[Phrases H]],"*H350*"), 20, TRUE, "")</f>
        <v/>
      </c>
      <c r="AI33" s="30" t="str" cm="1">
        <f t="array" ref="AI33">_xlfn.IFS(COUNTIF(Table14623576[[#This Row],[Phrases H]],"*H360*"), 20, TRUE, "")</f>
        <v/>
      </c>
      <c r="AJ33" s="30" t="str" cm="1">
        <f t="array" ref="AJ33">_xlfn.IFS(COUNTIF(Table14623576[[#This Row],[Phrases H]],"*H340*"), 20, TRUE, "")</f>
        <v/>
      </c>
      <c r="AK33" s="30" t="str" cm="1">
        <f t="array" ref="AK33">_xlfn.IFS(COUNTIF(Table14623576[[#This Row],[Phrases H]],"*H351*"), 10, TRUE, "")</f>
        <v/>
      </c>
      <c r="AL33" s="30" t="str" cm="1">
        <f t="array" ref="AL33">_xlfn.IFS(COUNTIF(Table14623576[[#This Row],[Phrases H]],"*H361*"), 10, TRUE, "")</f>
        <v/>
      </c>
      <c r="AM33" s="30" t="str" cm="1">
        <f t="array" ref="AM33">_xlfn.IFS(COUNTIF(Table14623576[[#This Row],[Phrases H]],"*H362*"), 10, TRUE, "")</f>
        <v/>
      </c>
      <c r="AN33" s="30" t="str" cm="1">
        <f t="array" ref="AN33">_xlfn.IFS(COUNTIF(Table14623576[[#This Row],[Phrases H]],"*H341*"), 10, TRUE, "")</f>
        <v/>
      </c>
      <c r="AO33" s="30" t="str" cm="1">
        <f t="array" ref="AO33">_xlfn.IFS(COUNTIF(Table14623576[[#This Row],[Phrases H]],"*H372*"), 10, TRUE, "")</f>
        <v/>
      </c>
      <c r="AP33" s="30" t="str" cm="1">
        <f t="array" ref="AP33">_xlfn.IFS(COUNTIF(Table14623576[[#This Row],[Phrases H]],"*H410*"), 10, TRUE, "")</f>
        <v/>
      </c>
      <c r="AQ33" s="30" t="str" cm="1">
        <f t="array" ref="AQ33">_xlfn.IFS(COUNTIF(Table14623576[[#This Row],[Phrases H]],"*H373*"), 5, TRUE, "")</f>
        <v/>
      </c>
      <c r="AR33" s="30" t="str" cm="1">
        <f t="array" ref="AR33">_xlfn.IFS(COUNTIF(Table14623576[[#This Row],[Phrases H]],"*H411*"), 5, TRUE, "")</f>
        <v/>
      </c>
      <c r="AS33" s="112">
        <f t="shared" si="12"/>
        <v>0</v>
      </c>
      <c r="AT33" s="113">
        <f>LOG(10000)</f>
        <v>4</v>
      </c>
      <c r="AU33" s="113">
        <v>1.4000000000000001E-7</v>
      </c>
      <c r="AV33" s="114">
        <f t="shared" si="0"/>
        <v>10</v>
      </c>
      <c r="AW33" s="115" t="str">
        <f t="shared" si="1"/>
        <v>0</v>
      </c>
      <c r="AX33" s="116">
        <f t="shared" si="2"/>
        <v>0</v>
      </c>
      <c r="AY33" s="117">
        <f t="shared" si="13"/>
        <v>0</v>
      </c>
      <c r="AZ33" s="118" t="str">
        <f t="shared" si="14"/>
        <v>5</v>
      </c>
      <c r="BA33" s="119" t="str">
        <f t="shared" si="3"/>
        <v>5</v>
      </c>
      <c r="BB33" s="32"/>
      <c r="BC33" s="113">
        <v>10000</v>
      </c>
      <c r="BD33" s="113" t="s">
        <v>97</v>
      </c>
      <c r="BE33" s="120">
        <f t="shared" si="22"/>
        <v>20</v>
      </c>
      <c r="BF33" s="121" t="str">
        <f t="shared" si="16"/>
        <v>Production élevée</v>
      </c>
      <c r="BG33" s="122" t="str">
        <f t="shared" si="17"/>
        <v>B</v>
      </c>
      <c r="BH33" s="32"/>
      <c r="BI33" s="7"/>
      <c r="BJ33" s="5">
        <v>0</v>
      </c>
      <c r="BK33" s="7"/>
      <c r="BL33" s="131">
        <v>0</v>
      </c>
      <c r="BM33" s="132" t="s">
        <v>99</v>
      </c>
      <c r="BN33"/>
      <c r="BO33" s="60" t="str">
        <f t="shared" si="25"/>
        <v>Catégorie 5B NON</v>
      </c>
      <c r="BP33"/>
      <c r="BQ33" s="42" t="s">
        <v>150</v>
      </c>
      <c r="BR33"/>
      <c r="BS33" s="187" t="str">
        <f t="shared" si="4"/>
        <v/>
      </c>
      <c r="BT33" s="19" t="str">
        <f t="shared" si="5"/>
        <v/>
      </c>
      <c r="BU33" s="19" t="str">
        <f t="shared" si="6"/>
        <v/>
      </c>
      <c r="BV33" s="10"/>
      <c r="BW33" s="5" t="str">
        <f t="shared" si="7"/>
        <v/>
      </c>
      <c r="BX33" s="5" t="str">
        <f t="shared" si="8"/>
        <v/>
      </c>
      <c r="BY33"/>
      <c r="BZ33" s="5" t="str">
        <f t="shared" si="9"/>
        <v/>
      </c>
      <c r="CA33" s="5" t="str">
        <f t="shared" si="10"/>
        <v/>
      </c>
      <c r="CB33" s="188" t="str">
        <f t="shared" si="11"/>
        <v/>
      </c>
    </row>
    <row r="34" spans="1:80" s="27" customFormat="1" ht="47.15" customHeight="1" x14ac:dyDescent="0.55000000000000004">
      <c r="A34" s="104">
        <v>30</v>
      </c>
      <c r="B34" s="104" t="s">
        <v>75</v>
      </c>
      <c r="C34" s="111" t="s">
        <v>461</v>
      </c>
      <c r="D34" s="104" t="s">
        <v>462</v>
      </c>
      <c r="E34" s="104" t="s">
        <v>463</v>
      </c>
      <c r="F34" s="104" t="s">
        <v>464</v>
      </c>
      <c r="G34" s="104" t="s">
        <v>465</v>
      </c>
      <c r="H34" s="104" t="s">
        <v>466</v>
      </c>
      <c r="I34" s="104" t="s">
        <v>332</v>
      </c>
      <c r="J34" s="104" t="s">
        <v>467</v>
      </c>
      <c r="K34" s="104" t="s">
        <v>292</v>
      </c>
      <c r="L34" s="104"/>
      <c r="M34" s="104"/>
      <c r="N34" s="104" t="s">
        <v>85</v>
      </c>
      <c r="O34" s="104"/>
      <c r="P34" s="104"/>
      <c r="Q34" s="102"/>
      <c r="R34" s="104"/>
      <c r="S34" s="104" t="s">
        <v>345</v>
      </c>
      <c r="T34" s="104"/>
      <c r="U34" s="104" t="s">
        <v>108</v>
      </c>
      <c r="V34" s="104" t="s">
        <v>88</v>
      </c>
      <c r="W34" s="104" t="s">
        <v>468</v>
      </c>
      <c r="X34" s="104" t="s">
        <v>110</v>
      </c>
      <c r="Y34" s="104" t="s">
        <v>469</v>
      </c>
      <c r="Z34" s="104" t="s">
        <v>470</v>
      </c>
      <c r="AA34" s="104">
        <v>20</v>
      </c>
      <c r="AB34" s="128">
        <f>LOG(299.2)</f>
        <v>2.4759615891924236</v>
      </c>
      <c r="AC34" s="104" t="s">
        <v>471</v>
      </c>
      <c r="AD34" s="104" t="s">
        <v>472</v>
      </c>
      <c r="AE34"/>
      <c r="AF34" s="30" t="str" cm="1">
        <f t="array" ref="AF34">_xlfn.IFS(COUNTIF(Table14623576[[#This Row],[PBT/ vPvB]],"*X*"), 20, TRUE, "")</f>
        <v/>
      </c>
      <c r="AG34" s="30" t="str" cm="1">
        <f t="array" ref="AG34">_xlfn.IFS(COUNTIF(Table14623576[[#This Row],[Perturbateur Endocrinien]],"*X*"), 20, TRUE, "")</f>
        <v/>
      </c>
      <c r="AH34" s="30" t="str" cm="1">
        <f t="array" ref="AH34">_xlfn.IFS(COUNTIF(Table14623576[[#This Row],[Phrases H]],"*H350*"), 20, TRUE, "")</f>
        <v/>
      </c>
      <c r="AI34" s="30" t="str" cm="1">
        <f t="array" ref="AI34">_xlfn.IFS(COUNTIF(Table14623576[[#This Row],[Phrases H]],"*H360*"), 20, TRUE, "")</f>
        <v/>
      </c>
      <c r="AJ34" s="30" t="str" cm="1">
        <f t="array" ref="AJ34">_xlfn.IFS(COUNTIF(Table14623576[[#This Row],[Phrases H]],"*H340*"), 20, TRUE, "")</f>
        <v/>
      </c>
      <c r="AK34" s="30" t="str" cm="1">
        <f t="array" ref="AK34">_xlfn.IFS(COUNTIF(Table14623576[[#This Row],[Phrases H]],"*H351*"), 10, TRUE, "")</f>
        <v/>
      </c>
      <c r="AL34" s="30" t="str" cm="1">
        <f t="array" ref="AL34">_xlfn.IFS(COUNTIF(Table14623576[[#This Row],[Phrases H]],"*H361*"), 10, TRUE, "")</f>
        <v/>
      </c>
      <c r="AM34" s="30" t="str" cm="1">
        <f t="array" ref="AM34">_xlfn.IFS(COUNTIF(Table14623576[[#This Row],[Phrases H]],"*H362*"), 10, TRUE, "")</f>
        <v/>
      </c>
      <c r="AN34" s="30" t="str" cm="1">
        <f t="array" ref="AN34">_xlfn.IFS(COUNTIF(Table14623576[[#This Row],[Phrases H]],"*H341*"), 10, TRUE, "")</f>
        <v/>
      </c>
      <c r="AO34" s="30" t="str" cm="1">
        <f t="array" ref="AO34">_xlfn.IFS(COUNTIF(Table14623576[[#This Row],[Phrases H]],"*H372*"), 10, TRUE, "")</f>
        <v/>
      </c>
      <c r="AP34" s="30" t="str" cm="1">
        <f t="array" ref="AP34">_xlfn.IFS(COUNTIF(Table14623576[[#This Row],[Phrases H]],"*H410*"), 10, TRUE, "")</f>
        <v/>
      </c>
      <c r="AQ34" s="30" t="str" cm="1">
        <f t="array" ref="AQ34">_xlfn.IFS(COUNTIF(Table14623576[[#This Row],[Phrases H]],"*H373*"), 5, TRUE, "")</f>
        <v/>
      </c>
      <c r="AR34" s="30" t="str" cm="1">
        <f t="array" ref="AR34">_xlfn.IFS(COUNTIF(Table14623576[[#This Row],[Phrases H]],"*H411*"), 5, TRUE, "")</f>
        <v/>
      </c>
      <c r="AS34" s="112">
        <f t="shared" si="12"/>
        <v>0</v>
      </c>
      <c r="AT34" s="129">
        <f>LOG(299.2)</f>
        <v>2.4759615891924236</v>
      </c>
      <c r="AU34" s="113">
        <v>663.5</v>
      </c>
      <c r="AV34" s="114">
        <f t="shared" si="0"/>
        <v>30</v>
      </c>
      <c r="AW34" s="115" t="str">
        <f t="shared" si="1"/>
        <v>10</v>
      </c>
      <c r="AX34" s="116">
        <f t="shared" si="2"/>
        <v>10</v>
      </c>
      <c r="AY34" s="117">
        <f t="shared" si="13"/>
        <v>0.11764705882352941</v>
      </c>
      <c r="AZ34" s="118" t="str">
        <f t="shared" si="14"/>
        <v>5</v>
      </c>
      <c r="BA34" s="119" t="str">
        <f t="shared" si="3"/>
        <v>5</v>
      </c>
      <c r="BB34" s="32"/>
      <c r="BC34" s="113">
        <v>10000</v>
      </c>
      <c r="BD34" s="113" t="s">
        <v>97</v>
      </c>
      <c r="BE34" s="120">
        <f t="shared" si="22"/>
        <v>20</v>
      </c>
      <c r="BF34" s="121" t="str">
        <f t="shared" si="16"/>
        <v>Production élevée</v>
      </c>
      <c r="BG34" s="122" t="str">
        <f t="shared" si="17"/>
        <v>B</v>
      </c>
      <c r="BH34" s="32"/>
      <c r="BI34" s="7"/>
      <c r="BJ34" s="5">
        <v>0</v>
      </c>
      <c r="BK34" s="7"/>
      <c r="BL34" s="131">
        <v>0</v>
      </c>
      <c r="BM34" s="132" t="s">
        <v>99</v>
      </c>
      <c r="BN34"/>
      <c r="BO34" s="60" t="str">
        <f t="shared" si="25"/>
        <v>Catégorie 5B NON</v>
      </c>
      <c r="BP34"/>
      <c r="BQ34" s="42" t="s">
        <v>150</v>
      </c>
      <c r="BR34"/>
      <c r="BS34" s="187" t="str">
        <f t="shared" si="4"/>
        <v/>
      </c>
      <c r="BT34" s="19" t="str">
        <f t="shared" si="5"/>
        <v/>
      </c>
      <c r="BU34" s="19" t="str">
        <f t="shared" si="6"/>
        <v/>
      </c>
      <c r="BV34" s="10"/>
      <c r="BW34" s="5" t="str">
        <f t="shared" si="7"/>
        <v/>
      </c>
      <c r="BX34" s="5" t="str">
        <f t="shared" si="8"/>
        <v/>
      </c>
      <c r="BY34"/>
      <c r="BZ34" s="5" t="str">
        <f t="shared" si="9"/>
        <v/>
      </c>
      <c r="CA34" s="5" t="str">
        <f t="shared" si="10"/>
        <v/>
      </c>
      <c r="CB34" s="188" t="str">
        <f t="shared" si="11"/>
        <v/>
      </c>
    </row>
    <row r="35" spans="1:80" s="27" customFormat="1" ht="55" customHeight="1" x14ac:dyDescent="0.55000000000000004">
      <c r="A35" s="104">
        <v>31</v>
      </c>
      <c r="B35" s="104" t="s">
        <v>75</v>
      </c>
      <c r="C35" s="111" t="s">
        <v>473</v>
      </c>
      <c r="D35" s="104" t="s">
        <v>474</v>
      </c>
      <c r="E35" s="104" t="s">
        <v>475</v>
      </c>
      <c r="F35" s="104" t="s">
        <v>476</v>
      </c>
      <c r="G35" s="104" t="s">
        <v>477</v>
      </c>
      <c r="H35" s="104" t="s">
        <v>88</v>
      </c>
      <c r="I35" s="104" t="s">
        <v>478</v>
      </c>
      <c r="J35" s="104" t="s">
        <v>479</v>
      </c>
      <c r="K35" s="104" t="s">
        <v>408</v>
      </c>
      <c r="L35" s="104" t="s">
        <v>85</v>
      </c>
      <c r="M35" s="104"/>
      <c r="N35" s="104"/>
      <c r="O35" s="104" t="s">
        <v>85</v>
      </c>
      <c r="P35" s="104"/>
      <c r="Q35" s="102"/>
      <c r="R35" s="104" t="s">
        <v>85</v>
      </c>
      <c r="S35" s="104" t="s">
        <v>86</v>
      </c>
      <c r="T35" s="104"/>
      <c r="U35" s="104" t="s">
        <v>108</v>
      </c>
      <c r="V35" s="104" t="s">
        <v>88</v>
      </c>
      <c r="W35" s="104" t="s">
        <v>480</v>
      </c>
      <c r="X35" s="104" t="s">
        <v>481</v>
      </c>
      <c r="Y35" s="104" t="s">
        <v>482</v>
      </c>
      <c r="Z35" s="104" t="s">
        <v>483</v>
      </c>
      <c r="AA35" s="104">
        <v>20</v>
      </c>
      <c r="AB35" s="104">
        <f>LOG(100000000)</f>
        <v>8</v>
      </c>
      <c r="AC35" s="104" t="s">
        <v>484</v>
      </c>
      <c r="AD35" s="104" t="s">
        <v>485</v>
      </c>
      <c r="AE35"/>
      <c r="AF35" s="30" cm="1">
        <f t="array" ref="AF35">_xlfn.IFS(COUNTIF(Table14623576[[#This Row],[PBT/ vPvB]],"*X*"), 20, TRUE, "")</f>
        <v>20</v>
      </c>
      <c r="AG35" s="30" t="str" cm="1">
        <f t="array" ref="AG35">_xlfn.IFS(COUNTIF(Table14623576[[#This Row],[Perturbateur Endocrinien]],"*X*"), 20, TRUE, "")</f>
        <v/>
      </c>
      <c r="AH35" s="30" t="str" cm="1">
        <f t="array" ref="AH35">_xlfn.IFS(COUNTIF(Table14623576[[#This Row],[Phrases H]],"*H350*"), 20, TRUE, "")</f>
        <v/>
      </c>
      <c r="AI35" s="30" t="str" cm="1">
        <f t="array" ref="AI35">_xlfn.IFS(COUNTIF(Table14623576[[#This Row],[Phrases H]],"*H360*"), 20, TRUE, "")</f>
        <v/>
      </c>
      <c r="AJ35" s="30" t="str" cm="1">
        <f t="array" ref="AJ35">_xlfn.IFS(COUNTIF(Table14623576[[#This Row],[Phrases H]],"*H340*"), 20, TRUE, "")</f>
        <v/>
      </c>
      <c r="AK35" s="30" t="str" cm="1">
        <f t="array" ref="AK35">_xlfn.IFS(COUNTIF(Table14623576[[#This Row],[Phrases H]],"*H351*"), 10, TRUE, "")</f>
        <v/>
      </c>
      <c r="AL35" s="30" t="str" cm="1">
        <f t="array" ref="AL35">_xlfn.IFS(COUNTIF(Table14623576[[#This Row],[Phrases H]],"*H361*"), 10, TRUE, "")</f>
        <v/>
      </c>
      <c r="AM35" s="30" t="str" cm="1">
        <f t="array" ref="AM35">_xlfn.IFS(COUNTIF(Table14623576[[#This Row],[Phrases H]],"*H362*"), 10, TRUE, "")</f>
        <v/>
      </c>
      <c r="AN35" s="30" t="str" cm="1">
        <f t="array" ref="AN35">_xlfn.IFS(COUNTIF(Table14623576[[#This Row],[Phrases H]],"*H341*"), 10, TRUE, "")</f>
        <v/>
      </c>
      <c r="AO35" s="30" t="str" cm="1">
        <f t="array" ref="AO35">_xlfn.IFS(COUNTIF(Table14623576[[#This Row],[Phrases H]],"*H372*"), 10, TRUE, "")</f>
        <v/>
      </c>
      <c r="AP35" s="30" t="str" cm="1">
        <f t="array" ref="AP35">_xlfn.IFS(COUNTIF(Table14623576[[#This Row],[Phrases H]],"*H410*"), 10, TRUE, "")</f>
        <v/>
      </c>
      <c r="AQ35" s="30" t="str" cm="1">
        <f t="array" ref="AQ35">_xlfn.IFS(COUNTIF(Table14623576[[#This Row],[Phrases H]],"*H373*"), 5, TRUE, "")</f>
        <v/>
      </c>
      <c r="AR35" s="30" t="str" cm="1">
        <f t="array" ref="AR35">_xlfn.IFS(COUNTIF(Table14623576[[#This Row],[Phrases H]],"*H411*"), 5, TRUE, "")</f>
        <v/>
      </c>
      <c r="AS35" s="112">
        <f t="shared" si="12"/>
        <v>20</v>
      </c>
      <c r="AT35" s="113">
        <f>LOG(100000000)</f>
        <v>8</v>
      </c>
      <c r="AU35" s="113">
        <v>1.6700000000000001E-6</v>
      </c>
      <c r="AV35" s="114">
        <f t="shared" si="0"/>
        <v>10</v>
      </c>
      <c r="AW35" s="115" t="str">
        <f t="shared" si="1"/>
        <v>0</v>
      </c>
      <c r="AX35" s="116">
        <f t="shared" si="2"/>
        <v>20</v>
      </c>
      <c r="AY35" s="117">
        <f t="shared" si="13"/>
        <v>0.23529411764705882</v>
      </c>
      <c r="AZ35" s="118" t="str">
        <f t="shared" si="14"/>
        <v>4</v>
      </c>
      <c r="BA35" s="119" t="str">
        <f t="shared" si="3"/>
        <v>4</v>
      </c>
      <c r="BB35" s="32"/>
      <c r="BC35" s="113">
        <v>0</v>
      </c>
      <c r="BD35" s="113" t="s">
        <v>97</v>
      </c>
      <c r="BE35" s="120">
        <f t="shared" si="22"/>
        <v>5</v>
      </c>
      <c r="BF35" s="121" t="str">
        <f t="shared" si="16"/>
        <v>Très faible production</v>
      </c>
      <c r="BG35" s="122" t="str">
        <f t="shared" si="17"/>
        <v>E</v>
      </c>
      <c r="BH35" s="32"/>
      <c r="BI35" s="7"/>
      <c r="BJ35" s="5">
        <v>0</v>
      </c>
      <c r="BK35" s="7"/>
      <c r="BL35" s="131">
        <v>0</v>
      </c>
      <c r="BM35" s="132" t="s">
        <v>99</v>
      </c>
      <c r="BN35"/>
      <c r="BO35" s="60" t="str">
        <f t="shared" si="25"/>
        <v>Catégorie 4E NON</v>
      </c>
      <c r="BP35"/>
      <c r="BQ35" s="42" t="s">
        <v>88</v>
      </c>
      <c r="BR35"/>
      <c r="BS35" s="187" t="str">
        <f t="shared" si="4"/>
        <v/>
      </c>
      <c r="BT35" s="19" t="str">
        <f t="shared" si="5"/>
        <v/>
      </c>
      <c r="BU35" s="19" t="str">
        <f t="shared" si="6"/>
        <v/>
      </c>
      <c r="BV35" s="10"/>
      <c r="BW35" s="5" t="str">
        <f t="shared" si="7"/>
        <v>X</v>
      </c>
      <c r="BX35" s="5" t="str">
        <f t="shared" si="8"/>
        <v/>
      </c>
      <c r="BY35"/>
      <c r="BZ35" s="5" t="str">
        <f t="shared" si="9"/>
        <v/>
      </c>
      <c r="CA35" s="5" t="str">
        <f t="shared" si="10"/>
        <v/>
      </c>
      <c r="CB35" s="188" t="str">
        <f t="shared" si="11"/>
        <v/>
      </c>
    </row>
    <row r="36" spans="1:80" s="27" customFormat="1" ht="42" customHeight="1" x14ac:dyDescent="0.55000000000000004">
      <c r="A36" s="104">
        <v>32</v>
      </c>
      <c r="B36" s="104" t="s">
        <v>75</v>
      </c>
      <c r="C36" s="111" t="s">
        <v>486</v>
      </c>
      <c r="D36" s="104" t="s">
        <v>487</v>
      </c>
      <c r="E36" s="104" t="s">
        <v>488</v>
      </c>
      <c r="F36" s="104" t="s">
        <v>489</v>
      </c>
      <c r="G36" s="104" t="s">
        <v>490</v>
      </c>
      <c r="H36" s="104" t="s">
        <v>491</v>
      </c>
      <c r="I36" s="104" t="s">
        <v>478</v>
      </c>
      <c r="J36" s="104" t="s">
        <v>479</v>
      </c>
      <c r="K36" s="104" t="s">
        <v>420</v>
      </c>
      <c r="L36" s="104"/>
      <c r="M36" s="104"/>
      <c r="N36" s="104" t="s">
        <v>85</v>
      </c>
      <c r="O36" s="104"/>
      <c r="P36" s="104"/>
      <c r="Q36" s="102"/>
      <c r="R36" s="104" t="s">
        <v>85</v>
      </c>
      <c r="S36" s="104" t="s">
        <v>187</v>
      </c>
      <c r="T36" s="104"/>
      <c r="U36" s="104" t="s">
        <v>108</v>
      </c>
      <c r="V36" s="104" t="s">
        <v>88</v>
      </c>
      <c r="W36" s="104" t="s">
        <v>492</v>
      </c>
      <c r="X36" s="104" t="s">
        <v>93</v>
      </c>
      <c r="Y36" s="104" t="s">
        <v>93</v>
      </c>
      <c r="Z36" s="104" t="s">
        <v>493</v>
      </c>
      <c r="AA36" s="104">
        <v>20</v>
      </c>
      <c r="AB36" s="104" t="s">
        <v>494</v>
      </c>
      <c r="AC36" s="104" t="s">
        <v>93</v>
      </c>
      <c r="AD36" s="104" t="s">
        <v>93</v>
      </c>
      <c r="AE36"/>
      <c r="AF36" s="30" cm="1">
        <f t="array" ref="AF36">_xlfn.IFS(COUNTIF(Table14623576[[#This Row],[PBT/ vPvB]],"*X*"), 20, TRUE, "")</f>
        <v>20</v>
      </c>
      <c r="AG36" s="30" t="str" cm="1">
        <f t="array" ref="AG36">_xlfn.IFS(COUNTIF(Table14623576[[#This Row],[Perturbateur Endocrinien]],"*X*"), 20, TRUE, "")</f>
        <v/>
      </c>
      <c r="AH36" s="30" t="str" cm="1">
        <f t="array" ref="AH36">_xlfn.IFS(COUNTIF(Table14623576[[#This Row],[Phrases H]],"*H350*"), 20, TRUE, "")</f>
        <v/>
      </c>
      <c r="AI36" s="30" t="str" cm="1">
        <f t="array" ref="AI36">_xlfn.IFS(COUNTIF(Table14623576[[#This Row],[Phrases H]],"*H360*"), 20, TRUE, "")</f>
        <v/>
      </c>
      <c r="AJ36" s="30" t="str" cm="1">
        <f t="array" ref="AJ36">_xlfn.IFS(COUNTIF(Table14623576[[#This Row],[Phrases H]],"*H340*"), 20, TRUE, "")</f>
        <v/>
      </c>
      <c r="AK36" s="30" t="str" cm="1">
        <f t="array" ref="AK36">_xlfn.IFS(COUNTIF(Table14623576[[#This Row],[Phrases H]],"*H351*"), 10, TRUE, "")</f>
        <v/>
      </c>
      <c r="AL36" s="30" t="str" cm="1">
        <f t="array" ref="AL36">_xlfn.IFS(COUNTIF(Table14623576[[#This Row],[Phrases H]],"*H361*"), 10, TRUE, "")</f>
        <v/>
      </c>
      <c r="AM36" s="30" t="str" cm="1">
        <f t="array" ref="AM36">_xlfn.IFS(COUNTIF(Table14623576[[#This Row],[Phrases H]],"*H362*"), 10, TRUE, "")</f>
        <v/>
      </c>
      <c r="AN36" s="30" t="str" cm="1">
        <f t="array" ref="AN36">_xlfn.IFS(COUNTIF(Table14623576[[#This Row],[Phrases H]],"*H341*"), 10, TRUE, "")</f>
        <v/>
      </c>
      <c r="AO36" s="30" t="str" cm="1">
        <f t="array" ref="AO36">_xlfn.IFS(COUNTIF(Table14623576[[#This Row],[Phrases H]],"*H372*"), 10, TRUE, "")</f>
        <v/>
      </c>
      <c r="AP36" s="30" t="str" cm="1">
        <f t="array" ref="AP36">_xlfn.IFS(COUNTIF(Table14623576[[#This Row],[Phrases H]],"*H410*"), 10, TRUE, "")</f>
        <v/>
      </c>
      <c r="AQ36" s="30" t="str" cm="1">
        <f t="array" ref="AQ36">_xlfn.IFS(COUNTIF(Table14623576[[#This Row],[Phrases H]],"*H373*"), 5, TRUE, "")</f>
        <v/>
      </c>
      <c r="AR36" s="30" t="str" cm="1">
        <f t="array" ref="AR36">_xlfn.IFS(COUNTIF(Table14623576[[#This Row],[Phrases H]],"*H411*"), 5, TRUE, "")</f>
        <v/>
      </c>
      <c r="AS36" s="112">
        <f t="shared" si="12"/>
        <v>20</v>
      </c>
      <c r="AT36" s="113">
        <v>10</v>
      </c>
      <c r="AU36" s="113">
        <v>6.6E-3</v>
      </c>
      <c r="AV36" s="114">
        <f t="shared" si="0"/>
        <v>10</v>
      </c>
      <c r="AW36" s="115" t="str">
        <f t="shared" si="1"/>
        <v>0</v>
      </c>
      <c r="AX36" s="116">
        <f t="shared" si="2"/>
        <v>20</v>
      </c>
      <c r="AY36" s="117">
        <f t="shared" si="13"/>
        <v>0.23529411764705882</v>
      </c>
      <c r="AZ36" s="118" t="str">
        <f t="shared" si="14"/>
        <v>4</v>
      </c>
      <c r="BA36" s="119" t="str">
        <f t="shared" si="3"/>
        <v>4</v>
      </c>
      <c r="BB36" s="32"/>
      <c r="BC36" s="113">
        <v>100000</v>
      </c>
      <c r="BD36" s="113" t="s">
        <v>97</v>
      </c>
      <c r="BE36" s="120">
        <f t="shared" si="22"/>
        <v>25</v>
      </c>
      <c r="BF36" s="121" t="str">
        <f t="shared" si="16"/>
        <v>Production très élevée</v>
      </c>
      <c r="BG36" s="122" t="str">
        <f t="shared" si="17"/>
        <v>A</v>
      </c>
      <c r="BH36" s="32"/>
      <c r="BI36" s="7"/>
      <c r="BJ36" s="5">
        <v>0</v>
      </c>
      <c r="BK36" s="7"/>
      <c r="BL36" s="131">
        <v>0</v>
      </c>
      <c r="BM36" s="132" t="s">
        <v>99</v>
      </c>
      <c r="BN36"/>
      <c r="BO36" s="60" t="str">
        <f t="shared" si="25"/>
        <v>Catégorie 4A NON</v>
      </c>
      <c r="BP36"/>
      <c r="BQ36" s="42" t="s">
        <v>88</v>
      </c>
      <c r="BR36"/>
      <c r="BS36" s="187" t="str">
        <f t="shared" si="4"/>
        <v/>
      </c>
      <c r="BT36" s="19" t="str">
        <f t="shared" si="5"/>
        <v/>
      </c>
      <c r="BU36" s="19" t="str">
        <f t="shared" si="6"/>
        <v/>
      </c>
      <c r="BV36" s="10"/>
      <c r="BW36" s="5" t="str">
        <f t="shared" si="7"/>
        <v/>
      </c>
      <c r="BX36" s="5" t="str">
        <f t="shared" si="8"/>
        <v/>
      </c>
      <c r="BY36"/>
      <c r="BZ36" s="5" t="str">
        <f t="shared" si="9"/>
        <v/>
      </c>
      <c r="CA36" s="5" t="str">
        <f t="shared" si="10"/>
        <v/>
      </c>
      <c r="CB36" s="188" t="str">
        <f t="shared" si="11"/>
        <v/>
      </c>
    </row>
    <row r="37" spans="1:80" s="27" customFormat="1" ht="42.65" customHeight="1" x14ac:dyDescent="0.55000000000000004">
      <c r="A37" s="104">
        <v>33</v>
      </c>
      <c r="B37" s="104" t="s">
        <v>75</v>
      </c>
      <c r="C37" s="111" t="s">
        <v>495</v>
      </c>
      <c r="D37" s="104" t="s">
        <v>496</v>
      </c>
      <c r="E37" s="104" t="s">
        <v>497</v>
      </c>
      <c r="F37" s="104" t="s">
        <v>498</v>
      </c>
      <c r="G37" s="104" t="s">
        <v>499</v>
      </c>
      <c r="H37" s="104" t="s">
        <v>88</v>
      </c>
      <c r="I37" s="104" t="s">
        <v>478</v>
      </c>
      <c r="J37" s="104" t="s">
        <v>479</v>
      </c>
      <c r="K37" s="104" t="s">
        <v>420</v>
      </c>
      <c r="L37" s="104"/>
      <c r="M37" s="104"/>
      <c r="N37" s="104"/>
      <c r="O37" s="104" t="s">
        <v>85</v>
      </c>
      <c r="P37" s="104"/>
      <c r="Q37" s="102"/>
      <c r="R37" s="104" t="s">
        <v>85</v>
      </c>
      <c r="S37" s="104" t="s">
        <v>86</v>
      </c>
      <c r="T37" s="104"/>
      <c r="U37" s="104" t="s">
        <v>500</v>
      </c>
      <c r="V37" s="104" t="s">
        <v>88</v>
      </c>
      <c r="W37" s="104" t="s">
        <v>501</v>
      </c>
      <c r="X37" s="104" t="s">
        <v>335</v>
      </c>
      <c r="Y37" s="104" t="s">
        <v>502</v>
      </c>
      <c r="Z37" s="104" t="s">
        <v>503</v>
      </c>
      <c r="AA37" s="104">
        <v>20</v>
      </c>
      <c r="AB37" s="128">
        <f>LOG(588844)</f>
        <v>5.7700002541882229</v>
      </c>
      <c r="AC37" s="104" t="s">
        <v>504</v>
      </c>
      <c r="AD37" s="104" t="s">
        <v>505</v>
      </c>
      <c r="AE37"/>
      <c r="AF37" s="30" cm="1">
        <f t="array" ref="AF37">_xlfn.IFS(COUNTIF(Table14623576[[#This Row],[PBT/ vPvB]],"*X*"), 20, TRUE, "")</f>
        <v>20</v>
      </c>
      <c r="AG37" s="30" t="str" cm="1">
        <f t="array" ref="AG37">_xlfn.IFS(COUNTIF(Table14623576[[#This Row],[Perturbateur Endocrinien]],"*X*"), 20, TRUE, "")</f>
        <v/>
      </c>
      <c r="AH37" s="30" t="str" cm="1">
        <f t="array" ref="AH37">_xlfn.IFS(COUNTIF(Table14623576[[#This Row],[Phrases H]],"*H350*"), 20, TRUE, "")</f>
        <v/>
      </c>
      <c r="AI37" s="30" t="str" cm="1">
        <f t="array" ref="AI37">_xlfn.IFS(COUNTIF(Table14623576[[#This Row],[Phrases H]],"*H360*"), 20, TRUE, "")</f>
        <v/>
      </c>
      <c r="AJ37" s="30" t="str" cm="1">
        <f t="array" ref="AJ37">_xlfn.IFS(COUNTIF(Table14623576[[#This Row],[Phrases H]],"*H340*"), 20, TRUE, "")</f>
        <v/>
      </c>
      <c r="AK37" s="30" t="str" cm="1">
        <f t="array" ref="AK37">_xlfn.IFS(COUNTIF(Table14623576[[#This Row],[Phrases H]],"*H351*"), 10, TRUE, "")</f>
        <v/>
      </c>
      <c r="AL37" s="30" t="str" cm="1">
        <f t="array" ref="AL37">_xlfn.IFS(COUNTIF(Table14623576[[#This Row],[Phrases H]],"*H361*"), 10, TRUE, "")</f>
        <v/>
      </c>
      <c r="AM37" s="30" cm="1">
        <f t="array" ref="AM37">_xlfn.IFS(COUNTIF(Table14623576[[#This Row],[Phrases H]],"*H362*"), 10, TRUE, "")</f>
        <v>10</v>
      </c>
      <c r="AN37" s="30" t="str" cm="1">
        <f t="array" ref="AN37">_xlfn.IFS(COUNTIF(Table14623576[[#This Row],[Phrases H]],"*H341*"), 10, TRUE, "")</f>
        <v/>
      </c>
      <c r="AO37" s="30" t="str" cm="1">
        <f t="array" ref="AO37">_xlfn.IFS(COUNTIF(Table14623576[[#This Row],[Phrases H]],"*H372*"), 10, TRUE, "")</f>
        <v/>
      </c>
      <c r="AP37" s="30" cm="1">
        <f t="array" ref="AP37">_xlfn.IFS(COUNTIF(Table14623576[[#This Row],[Phrases H]],"*H410*"), 10, TRUE, "")</f>
        <v>10</v>
      </c>
      <c r="AQ37" s="30" t="str" cm="1">
        <f t="array" ref="AQ37">_xlfn.IFS(COUNTIF(Table14623576[[#This Row],[Phrases H]],"*H373*"), 5, TRUE, "")</f>
        <v/>
      </c>
      <c r="AR37" s="30" t="str" cm="1">
        <f t="array" ref="AR37">_xlfn.IFS(COUNTIF(Table14623576[[#This Row],[Phrases H]],"*H411*"), 5, TRUE, "")</f>
        <v/>
      </c>
      <c r="AS37" s="112">
        <f t="shared" si="12"/>
        <v>40</v>
      </c>
      <c r="AT37" s="129">
        <f>LOG(588844)</f>
        <v>5.7700002541882229</v>
      </c>
      <c r="AU37" s="113">
        <v>2.7E-2</v>
      </c>
      <c r="AV37" s="114">
        <f t="shared" si="0"/>
        <v>10</v>
      </c>
      <c r="AW37" s="115" t="str">
        <f t="shared" si="1"/>
        <v>0</v>
      </c>
      <c r="AX37" s="116">
        <f t="shared" ref="AX37:AX68" si="26">AS37+AW37</f>
        <v>40</v>
      </c>
      <c r="AY37" s="117">
        <f t="shared" ref="AY37:AY68" si="27">AX37/85</f>
        <v>0.47058823529411764</v>
      </c>
      <c r="AZ37" s="118" t="str">
        <f t="shared" si="14"/>
        <v>3</v>
      </c>
      <c r="BA37" s="119" t="str">
        <f t="shared" ref="BA37:BA68" si="28">IF(AX37&lt;=17,"5",IF(AX37&lt;=34,"4",IF(AX37&lt;=51,"3",IF(AX37&lt;=68,"2","1"))))</f>
        <v>3</v>
      </c>
      <c r="BB37" s="32"/>
      <c r="BC37" s="113">
        <v>100000</v>
      </c>
      <c r="BD37" s="113" t="s">
        <v>97</v>
      </c>
      <c r="BE37" s="120">
        <f t="shared" si="22"/>
        <v>25</v>
      </c>
      <c r="BF37" s="121" t="str">
        <f t="shared" si="16"/>
        <v>Production très élevée</v>
      </c>
      <c r="BG37" s="122" t="str">
        <f t="shared" si="17"/>
        <v>A</v>
      </c>
      <c r="BH37" s="32"/>
      <c r="BI37" s="7"/>
      <c r="BJ37" s="5">
        <v>0</v>
      </c>
      <c r="BK37" s="7"/>
      <c r="BL37" s="131">
        <v>0</v>
      </c>
      <c r="BM37" s="132" t="s">
        <v>99</v>
      </c>
      <c r="BN37"/>
      <c r="BO37" s="60" t="str">
        <f t="shared" si="25"/>
        <v>Catégorie 3A NON</v>
      </c>
      <c r="BP37"/>
      <c r="BQ37" s="42" t="s">
        <v>88</v>
      </c>
      <c r="BR37"/>
      <c r="BS37" s="187" t="str">
        <f t="shared" ref="BS37:BS68" si="29">IF(AY37&gt;=0.4,"X","")</f>
        <v>X</v>
      </c>
      <c r="BT37" s="19" t="str">
        <f t="shared" ref="BT37:BT68" si="30">IF(AY37&gt;=0.5,"X","")</f>
        <v/>
      </c>
      <c r="BU37" s="19" t="str">
        <f t="shared" ref="BU37:BU68" si="31">IF(AY37&gt;=0.6,"X","")</f>
        <v/>
      </c>
      <c r="BV37" s="10"/>
      <c r="BW37" s="5" t="str">
        <f t="shared" ref="BW37:BW68" si="32">IF(OR(BG37="D", BG37="E"), "X", "")</f>
        <v/>
      </c>
      <c r="BX37" s="5" t="str">
        <f t="shared" ref="BX37:BX68" si="33">IF(BM37="OUI", "X", "")</f>
        <v/>
      </c>
      <c r="BY37"/>
      <c r="BZ37" s="5" t="str">
        <f t="shared" ref="BZ37:BZ68" si="34">IF(OR(AND(BS37="X", BW37&lt;&gt;"X"), AND(BX37="X")), "X", "")</f>
        <v>X</v>
      </c>
      <c r="CA37" s="5" t="str">
        <f t="shared" ref="CA37:CA68" si="35">IF(OR(AND(BT37="X", BW37&lt;&gt;"X"), AND(BX37="X")), "X", "")</f>
        <v/>
      </c>
      <c r="CB37" s="188" t="str">
        <f t="shared" ref="CB37:CB68" si="36">IF(OR(AND(BU37="X", BW37&lt;&gt;"X"), AND(BX37="X")), "X", "")</f>
        <v/>
      </c>
    </row>
    <row r="38" spans="1:80" s="27" customFormat="1" ht="30" customHeight="1" x14ac:dyDescent="0.55000000000000004">
      <c r="A38" s="104">
        <v>34</v>
      </c>
      <c r="B38" s="104" t="s">
        <v>75</v>
      </c>
      <c r="C38" s="111" t="s">
        <v>506</v>
      </c>
      <c r="D38" s="104" t="s">
        <v>507</v>
      </c>
      <c r="E38" s="104" t="s">
        <v>508</v>
      </c>
      <c r="F38" s="104" t="s">
        <v>509</v>
      </c>
      <c r="G38" s="104" t="s">
        <v>510</v>
      </c>
      <c r="H38" s="104" t="s">
        <v>511</v>
      </c>
      <c r="I38" s="104" t="s">
        <v>512</v>
      </c>
      <c r="J38" s="104" t="s">
        <v>513</v>
      </c>
      <c r="K38" s="104" t="s">
        <v>514</v>
      </c>
      <c r="L38" s="104"/>
      <c r="M38" s="104"/>
      <c r="N38" s="104"/>
      <c r="O38" s="104"/>
      <c r="P38" s="104"/>
      <c r="Q38" s="102"/>
      <c r="R38" s="104"/>
      <c r="S38" s="104" t="s">
        <v>88</v>
      </c>
      <c r="T38" s="104"/>
      <c r="U38" s="104" t="s">
        <v>515</v>
      </c>
      <c r="V38" s="104" t="s">
        <v>173</v>
      </c>
      <c r="W38" s="104" t="s">
        <v>516</v>
      </c>
      <c r="X38" s="104" t="s">
        <v>517</v>
      </c>
      <c r="Y38" s="104" t="s">
        <v>93</v>
      </c>
      <c r="Z38" s="104" t="s">
        <v>518</v>
      </c>
      <c r="AA38" s="104" t="s">
        <v>93</v>
      </c>
      <c r="AB38" s="104" t="s">
        <v>88</v>
      </c>
      <c r="AC38" s="104" t="s">
        <v>93</v>
      </c>
      <c r="AD38" s="104" t="s">
        <v>519</v>
      </c>
      <c r="AE38"/>
      <c r="AF38" s="30" t="str" cm="1">
        <f t="array" ref="AF38">_xlfn.IFS(COUNTIF(Table14623576[[#This Row],[PBT/ vPvB]],"*X*"), 20, TRUE, "")</f>
        <v/>
      </c>
      <c r="AG38" s="30" t="str" cm="1">
        <f t="array" ref="AG38">_xlfn.IFS(COUNTIF(Table14623576[[#This Row],[Perturbateur Endocrinien]],"*X*"), 20, TRUE, "")</f>
        <v/>
      </c>
      <c r="AH38" s="30" t="str" cm="1">
        <f t="array" ref="AH38">_xlfn.IFS(COUNTIF(Table14623576[[#This Row],[Phrases H]],"*H350*"), 20, TRUE, "")</f>
        <v/>
      </c>
      <c r="AI38" s="30" cm="1">
        <f t="array" ref="AI38">_xlfn.IFS(COUNTIF(Table14623576[[#This Row],[Phrases H]],"*H360*"), 20, TRUE, "")</f>
        <v>20</v>
      </c>
      <c r="AJ38" s="30" t="str" cm="1">
        <f t="array" ref="AJ38">_xlfn.IFS(COUNTIF(Table14623576[[#This Row],[Phrases H]],"*H340*"), 20, TRUE, "")</f>
        <v/>
      </c>
      <c r="AK38" s="30" cm="1">
        <f t="array" ref="AK38">_xlfn.IFS(COUNTIF(Table14623576[[#This Row],[Phrases H]],"*H351*"), 10, TRUE, "")</f>
        <v>10</v>
      </c>
      <c r="AL38" s="30" t="str" cm="1">
        <f t="array" ref="AL38">_xlfn.IFS(COUNTIF(Table14623576[[#This Row],[Phrases H]],"*H361*"), 10, TRUE, "")</f>
        <v/>
      </c>
      <c r="AM38" s="30" t="str" cm="1">
        <f t="array" ref="AM38">_xlfn.IFS(COUNTIF(Table14623576[[#This Row],[Phrases H]],"*H362*"), 10, TRUE, "")</f>
        <v/>
      </c>
      <c r="AN38" s="30" t="str" cm="1">
        <f t="array" ref="AN38">_xlfn.IFS(COUNTIF(Table14623576[[#This Row],[Phrases H]],"*H341*"), 10, TRUE, "")</f>
        <v/>
      </c>
      <c r="AO38" s="30" cm="1">
        <f t="array" ref="AO38">_xlfn.IFS(COUNTIF(Table14623576[[#This Row],[Phrases H]],"*H372*"), 10, TRUE, "")</f>
        <v>10</v>
      </c>
      <c r="AP38" s="30" t="str" cm="1">
        <f t="array" ref="AP38">_xlfn.IFS(COUNTIF(Table14623576[[#This Row],[Phrases H]],"*H410*"), 10, TRUE, "")</f>
        <v/>
      </c>
      <c r="AQ38" s="30" t="str" cm="1">
        <f t="array" ref="AQ38">_xlfn.IFS(COUNTIF(Table14623576[[#This Row],[Phrases H]],"*H373*"), 5, TRUE, "")</f>
        <v/>
      </c>
      <c r="AR38" s="30" t="str" cm="1">
        <f t="array" ref="AR38">_xlfn.IFS(COUNTIF(Table14623576[[#This Row],[Phrases H]],"*H411*"), 5, TRUE, "")</f>
        <v/>
      </c>
      <c r="AS38" s="112">
        <f t="shared" si="12"/>
        <v>40</v>
      </c>
      <c r="AT38" s="113" t="s">
        <v>88</v>
      </c>
      <c r="AU38" s="113">
        <v>0.37</v>
      </c>
      <c r="AV38" s="114">
        <f t="shared" si="0"/>
        <v>20</v>
      </c>
      <c r="AW38" s="115" t="str">
        <f>IF(OR(AV38=30,AV38=40),10,IF(AV38=50,20,"0"))</f>
        <v>0</v>
      </c>
      <c r="AX38" s="116">
        <f t="shared" si="26"/>
        <v>40</v>
      </c>
      <c r="AY38" s="117">
        <f t="shared" si="27"/>
        <v>0.47058823529411764</v>
      </c>
      <c r="AZ38" s="118" t="str">
        <f t="shared" si="14"/>
        <v>3</v>
      </c>
      <c r="BA38" s="119" t="str">
        <f t="shared" si="28"/>
        <v>3</v>
      </c>
      <c r="BB38" s="32"/>
      <c r="BC38" s="113">
        <v>10000</v>
      </c>
      <c r="BD38" s="113" t="s">
        <v>97</v>
      </c>
      <c r="BE38" s="120">
        <f t="shared" si="22"/>
        <v>20</v>
      </c>
      <c r="BF38" s="121" t="str">
        <f t="shared" si="16"/>
        <v>Production élevée</v>
      </c>
      <c r="BG38" s="122" t="str">
        <f t="shared" si="17"/>
        <v>B</v>
      </c>
      <c r="BH38" s="32"/>
      <c r="BI38" s="7"/>
      <c r="BJ38" s="5">
        <v>0</v>
      </c>
      <c r="BK38" s="7"/>
      <c r="BL38" s="131">
        <v>0</v>
      </c>
      <c r="BM38" s="132" t="s">
        <v>99</v>
      </c>
      <c r="BN38"/>
      <c r="BO38" s="60" t="str">
        <f t="shared" si="25"/>
        <v>Catégorie 3B NON</v>
      </c>
      <c r="BP38"/>
      <c r="BQ38" s="42" t="s">
        <v>88</v>
      </c>
      <c r="BR38"/>
      <c r="BS38" s="187" t="str">
        <f t="shared" si="29"/>
        <v>X</v>
      </c>
      <c r="BT38" s="19" t="str">
        <f t="shared" si="30"/>
        <v/>
      </c>
      <c r="BU38" s="19" t="str">
        <f t="shared" si="31"/>
        <v/>
      </c>
      <c r="BV38" s="10"/>
      <c r="BW38" s="5" t="str">
        <f t="shared" si="32"/>
        <v/>
      </c>
      <c r="BX38" s="5" t="str">
        <f t="shared" si="33"/>
        <v/>
      </c>
      <c r="BY38"/>
      <c r="BZ38" s="5" t="str">
        <f t="shared" si="34"/>
        <v>X</v>
      </c>
      <c r="CA38" s="5" t="str">
        <f t="shared" si="35"/>
        <v/>
      </c>
      <c r="CB38" s="188" t="str">
        <f t="shared" si="36"/>
        <v/>
      </c>
    </row>
    <row r="39" spans="1:80" s="27" customFormat="1" ht="30" customHeight="1" x14ac:dyDescent="0.55000000000000004">
      <c r="A39" s="104">
        <v>35</v>
      </c>
      <c r="B39" s="104" t="s">
        <v>75</v>
      </c>
      <c r="C39" s="111" t="s">
        <v>520</v>
      </c>
      <c r="D39" s="104" t="s">
        <v>77</v>
      </c>
      <c r="E39" s="104" t="s">
        <v>521</v>
      </c>
      <c r="F39" s="104" t="s">
        <v>522</v>
      </c>
      <c r="G39" s="104" t="s">
        <v>523</v>
      </c>
      <c r="H39" s="104" t="s">
        <v>524</v>
      </c>
      <c r="I39" s="104" t="s">
        <v>512</v>
      </c>
      <c r="J39" s="104" t="s">
        <v>513</v>
      </c>
      <c r="K39" s="104" t="s">
        <v>525</v>
      </c>
      <c r="L39" s="104"/>
      <c r="M39" s="104"/>
      <c r="N39" s="104"/>
      <c r="O39" s="104"/>
      <c r="P39" s="104" t="s">
        <v>85</v>
      </c>
      <c r="Q39" s="102"/>
      <c r="R39" s="104"/>
      <c r="S39" s="104" t="s">
        <v>88</v>
      </c>
      <c r="T39" s="104"/>
      <c r="U39" s="104" t="s">
        <v>526</v>
      </c>
      <c r="V39" s="104" t="s">
        <v>173</v>
      </c>
      <c r="W39" s="138" t="s">
        <v>527</v>
      </c>
      <c r="X39" s="104" t="s">
        <v>159</v>
      </c>
      <c r="Y39" s="104" t="s">
        <v>469</v>
      </c>
      <c r="Z39" s="104" t="s">
        <v>93</v>
      </c>
      <c r="AA39" s="104" t="s">
        <v>93</v>
      </c>
      <c r="AB39" s="128">
        <v>1.65</v>
      </c>
      <c r="AC39" s="104" t="s">
        <v>528</v>
      </c>
      <c r="AD39" s="104" t="s">
        <v>529</v>
      </c>
      <c r="AE39"/>
      <c r="AF39" s="30" t="str" cm="1">
        <f t="array" ref="AF39">_xlfn.IFS(COUNTIF(Table14623576[[#This Row],[PBT/ vPvB]],"*X*"), 20, TRUE, "")</f>
        <v/>
      </c>
      <c r="AG39" s="30" t="str" cm="1">
        <f t="array" ref="AG39">_xlfn.IFS(COUNTIF(Table14623576[[#This Row],[Perturbateur Endocrinien]],"*X*"), 20, TRUE, "")</f>
        <v/>
      </c>
      <c r="AH39" s="30" t="str" cm="1">
        <f t="array" ref="AH39">_xlfn.IFS(COUNTIF(Table14623576[[#This Row],[Phrases H]],"*H350*"), 20, TRUE, "")</f>
        <v/>
      </c>
      <c r="AI39" s="30" t="str" cm="1">
        <f t="array" ref="AI39">_xlfn.IFS(COUNTIF(Table14623576[[#This Row],[Phrases H]],"*H360*"), 20, TRUE, "")</f>
        <v/>
      </c>
      <c r="AJ39" s="30" t="str" cm="1">
        <f t="array" ref="AJ39">_xlfn.IFS(COUNTIF(Table14623576[[#This Row],[Phrases H]],"*H340*"), 20, TRUE, "")</f>
        <v/>
      </c>
      <c r="AK39" s="30" cm="1">
        <f t="array" ref="AK39">_xlfn.IFS(COUNTIF(Table14623576[[#This Row],[Phrases H]],"*H351*"), 10, TRUE, "")</f>
        <v>10</v>
      </c>
      <c r="AL39" s="30" t="str" cm="1">
        <f t="array" ref="AL39">_xlfn.IFS(COUNTIF(Table14623576[[#This Row],[Phrases H]],"*H361*"), 10, TRUE, "")</f>
        <v/>
      </c>
      <c r="AM39" s="30" t="str" cm="1">
        <f t="array" ref="AM39">_xlfn.IFS(COUNTIF(Table14623576[[#This Row],[Phrases H]],"*H362*"), 10, TRUE, "")</f>
        <v/>
      </c>
      <c r="AN39" s="30" t="str" cm="1">
        <f t="array" ref="AN39">_xlfn.IFS(COUNTIF(Table14623576[[#This Row],[Phrases H]],"*H341*"), 10, TRUE, "")</f>
        <v/>
      </c>
      <c r="AO39" s="30" t="str" cm="1">
        <f t="array" ref="AO39">_xlfn.IFS(COUNTIF(Table14623576[[#This Row],[Phrases H]],"*H372*"), 10, TRUE, "")</f>
        <v/>
      </c>
      <c r="AP39" s="30" t="str" cm="1">
        <f t="array" ref="AP39">_xlfn.IFS(COUNTIF(Table14623576[[#This Row],[Phrases H]],"*H410*"), 10, TRUE, "")</f>
        <v/>
      </c>
      <c r="AQ39" s="30" cm="1">
        <f t="array" ref="AQ39">_xlfn.IFS(COUNTIF(Table14623576[[#This Row],[Phrases H]],"*H373*"), 5, TRUE, "")</f>
        <v>5</v>
      </c>
      <c r="AR39" s="30" t="str" cm="1">
        <f t="array" ref="AR39">_xlfn.IFS(COUNTIF(Table14623576[[#This Row],[Phrases H]],"*H411*"), 5, TRUE, "")</f>
        <v/>
      </c>
      <c r="AS39" s="112">
        <f t="shared" si="12"/>
        <v>15</v>
      </c>
      <c r="AT39" s="129">
        <v>1.65</v>
      </c>
      <c r="AU39" s="139">
        <v>1E+47</v>
      </c>
      <c r="AV39" s="114">
        <f t="shared" si="0"/>
        <v>50</v>
      </c>
      <c r="AW39" s="115" t="str">
        <f>IF(AT39="0","0",IF(AT39&lt;2,"20",IF(AT39&lt;3,"10","0")))</f>
        <v>20</v>
      </c>
      <c r="AX39" s="116">
        <f t="shared" si="26"/>
        <v>35</v>
      </c>
      <c r="AY39" s="117">
        <f t="shared" si="27"/>
        <v>0.41176470588235292</v>
      </c>
      <c r="AZ39" s="118" t="str">
        <f t="shared" si="14"/>
        <v>3</v>
      </c>
      <c r="BA39" s="119" t="str">
        <f t="shared" si="28"/>
        <v>3</v>
      </c>
      <c r="BB39" s="32"/>
      <c r="BC39" s="113">
        <v>100000</v>
      </c>
      <c r="BD39" s="113" t="s">
        <v>97</v>
      </c>
      <c r="BE39" s="120">
        <f t="shared" si="22"/>
        <v>25</v>
      </c>
      <c r="BF39" s="121" t="str">
        <f t="shared" si="16"/>
        <v>Production très élevée</v>
      </c>
      <c r="BG39" s="122" t="str">
        <f t="shared" si="17"/>
        <v>A</v>
      </c>
      <c r="BH39" s="32"/>
      <c r="BI39" s="7" t="s">
        <v>530</v>
      </c>
      <c r="BJ39" s="130">
        <v>2</v>
      </c>
      <c r="BK39" s="7" t="s">
        <v>415</v>
      </c>
      <c r="BL39" s="131">
        <v>1</v>
      </c>
      <c r="BM39" s="132" t="s">
        <v>131</v>
      </c>
      <c r="BN39"/>
      <c r="BO39" s="60" t="str">
        <f t="shared" si="25"/>
        <v>Catégorie 3A OUI</v>
      </c>
      <c r="BP39"/>
      <c r="BQ39" s="42" t="s">
        <v>150</v>
      </c>
      <c r="BR39"/>
      <c r="BS39" s="187" t="str">
        <f t="shared" si="29"/>
        <v>X</v>
      </c>
      <c r="BT39" s="19" t="str">
        <f t="shared" si="30"/>
        <v/>
      </c>
      <c r="BU39" s="19" t="str">
        <f t="shared" si="31"/>
        <v/>
      </c>
      <c r="BV39" s="10"/>
      <c r="BW39" s="5" t="str">
        <f t="shared" si="32"/>
        <v/>
      </c>
      <c r="BX39" s="5" t="str">
        <f t="shared" si="33"/>
        <v>X</v>
      </c>
      <c r="BY39"/>
      <c r="BZ39" s="5" t="str">
        <f t="shared" si="34"/>
        <v>X</v>
      </c>
      <c r="CA39" s="5" t="str">
        <f t="shared" si="35"/>
        <v>X</v>
      </c>
      <c r="CB39" s="188" t="str">
        <f t="shared" si="36"/>
        <v>X</v>
      </c>
    </row>
    <row r="40" spans="1:80" s="27" customFormat="1" ht="30" customHeight="1" x14ac:dyDescent="0.55000000000000004">
      <c r="A40" s="104">
        <v>36</v>
      </c>
      <c r="B40" s="104" t="s">
        <v>75</v>
      </c>
      <c r="C40" s="111" t="s">
        <v>531</v>
      </c>
      <c r="D40" s="104" t="s">
        <v>532</v>
      </c>
      <c r="E40" s="104" t="s">
        <v>533</v>
      </c>
      <c r="F40" s="104" t="s">
        <v>534</v>
      </c>
      <c r="G40" s="104" t="s">
        <v>535</v>
      </c>
      <c r="H40" s="104" t="s">
        <v>88</v>
      </c>
      <c r="I40" s="104" t="s">
        <v>512</v>
      </c>
      <c r="J40" s="104" t="s">
        <v>513</v>
      </c>
      <c r="K40" s="104" t="s">
        <v>292</v>
      </c>
      <c r="L40" s="104"/>
      <c r="M40" s="104"/>
      <c r="N40" s="104"/>
      <c r="O40" s="104"/>
      <c r="P40" s="104"/>
      <c r="Q40" s="102"/>
      <c r="R40" s="104"/>
      <c r="S40" s="104" t="s">
        <v>88</v>
      </c>
      <c r="T40" s="104"/>
      <c r="U40" s="104" t="s">
        <v>536</v>
      </c>
      <c r="V40" s="104" t="s">
        <v>88</v>
      </c>
      <c r="W40" s="104" t="s">
        <v>537</v>
      </c>
      <c r="X40" s="104" t="s">
        <v>538</v>
      </c>
      <c r="Y40" s="104" t="s">
        <v>93</v>
      </c>
      <c r="Z40" s="104" t="s">
        <v>539</v>
      </c>
      <c r="AA40" s="104" t="s">
        <v>93</v>
      </c>
      <c r="AB40" s="104" t="s">
        <v>88</v>
      </c>
      <c r="AC40" s="104" t="s">
        <v>93</v>
      </c>
      <c r="AD40" s="104" t="s">
        <v>540</v>
      </c>
      <c r="AE40"/>
      <c r="AF40" s="30" t="str" cm="1">
        <f t="array" ref="AF40">_xlfn.IFS(COUNTIF(Table14623576[[#This Row],[PBT/ vPvB]],"*X*"), 20, TRUE, "")</f>
        <v/>
      </c>
      <c r="AG40" s="30" t="str" cm="1">
        <f t="array" ref="AG40">_xlfn.IFS(COUNTIF(Table14623576[[#This Row],[Perturbateur Endocrinien]],"*X*"), 20, TRUE, "")</f>
        <v/>
      </c>
      <c r="AH40" s="30" t="str" cm="1">
        <f t="array" ref="AH40">_xlfn.IFS(COUNTIF(Table14623576[[#This Row],[Phrases H]],"*H350*"), 20, TRUE, "")</f>
        <v/>
      </c>
      <c r="AI40" s="30" cm="1">
        <f t="array" ref="AI40">_xlfn.IFS(COUNTIF(Table14623576[[#This Row],[Phrases H]],"*H360*"), 20, TRUE, "")</f>
        <v>20</v>
      </c>
      <c r="AJ40" s="30" t="str" cm="1">
        <f t="array" ref="AJ40">_xlfn.IFS(COUNTIF(Table14623576[[#This Row],[Phrases H]],"*H340*"), 20, TRUE, "")</f>
        <v/>
      </c>
      <c r="AK40" s="30" t="str" cm="1">
        <f t="array" ref="AK40">_xlfn.IFS(COUNTIF(Table14623576[[#This Row],[Phrases H]],"*H351*"), 10, TRUE, "")</f>
        <v/>
      </c>
      <c r="AL40" s="30" t="str" cm="1">
        <f t="array" ref="AL40">_xlfn.IFS(COUNTIF(Table14623576[[#This Row],[Phrases H]],"*H361*"), 10, TRUE, "")</f>
        <v/>
      </c>
      <c r="AM40" s="30" t="str" cm="1">
        <f t="array" ref="AM40">_xlfn.IFS(COUNTIF(Table14623576[[#This Row],[Phrases H]],"*H362*"), 10, TRUE, "")</f>
        <v/>
      </c>
      <c r="AN40" s="30" t="str" cm="1">
        <f t="array" ref="AN40">_xlfn.IFS(COUNTIF(Table14623576[[#This Row],[Phrases H]],"*H341*"), 10, TRUE, "")</f>
        <v/>
      </c>
      <c r="AO40" s="30" cm="1">
        <f t="array" ref="AO40">_xlfn.IFS(COUNTIF(Table14623576[[#This Row],[Phrases H]],"*H372*"), 10, TRUE, "")</f>
        <v>10</v>
      </c>
      <c r="AP40" s="30" t="str" cm="1">
        <f t="array" ref="AP40">_xlfn.IFS(COUNTIF(Table14623576[[#This Row],[Phrases H]],"*H410*"), 10, TRUE, "")</f>
        <v/>
      </c>
      <c r="AQ40" s="30" t="str" cm="1">
        <f t="array" ref="AQ40">_xlfn.IFS(COUNTIF(Table14623576[[#This Row],[Phrases H]],"*H373*"), 5, TRUE, "")</f>
        <v/>
      </c>
      <c r="AR40" s="30" cm="1">
        <f t="array" ref="AR40">_xlfn.IFS(COUNTIF(Table14623576[[#This Row],[Phrases H]],"*H411*"), 5, TRUE, "")</f>
        <v>5</v>
      </c>
      <c r="AS40" s="112">
        <f t="shared" si="12"/>
        <v>35</v>
      </c>
      <c r="AT40" s="113" t="s">
        <v>88</v>
      </c>
      <c r="AU40" s="113">
        <v>594</v>
      </c>
      <c r="AV40" s="114">
        <f t="shared" si="0"/>
        <v>30</v>
      </c>
      <c r="AW40" s="115">
        <f>IF(OR(AV40=30,AV40=40),10,IF(AV40=50,20,"0"))</f>
        <v>10</v>
      </c>
      <c r="AX40" s="116">
        <f t="shared" si="26"/>
        <v>45</v>
      </c>
      <c r="AY40" s="117">
        <f t="shared" si="27"/>
        <v>0.52941176470588236</v>
      </c>
      <c r="AZ40" s="118" t="str">
        <f t="shared" si="14"/>
        <v>3</v>
      </c>
      <c r="BA40" s="119" t="str">
        <f t="shared" si="28"/>
        <v>3</v>
      </c>
      <c r="BB40" s="32"/>
      <c r="BC40" s="113">
        <v>10000</v>
      </c>
      <c r="BD40" s="113" t="s">
        <v>97</v>
      </c>
      <c r="BE40" s="120">
        <f t="shared" si="22"/>
        <v>20</v>
      </c>
      <c r="BF40" s="121" t="str">
        <f t="shared" si="16"/>
        <v>Production élevée</v>
      </c>
      <c r="BG40" s="122" t="str">
        <f t="shared" si="17"/>
        <v>B</v>
      </c>
      <c r="BH40" s="32"/>
      <c r="BI40" s="7"/>
      <c r="BJ40" s="130">
        <v>0</v>
      </c>
      <c r="BK40" s="7"/>
      <c r="BL40" s="131">
        <v>0</v>
      </c>
      <c r="BM40" s="132" t="s">
        <v>99</v>
      </c>
      <c r="BN40"/>
      <c r="BO40" s="60" t="str">
        <f t="shared" si="25"/>
        <v>Catégorie 3B NON</v>
      </c>
      <c r="BP40"/>
      <c r="BQ40" s="42" t="s">
        <v>88</v>
      </c>
      <c r="BR40"/>
      <c r="BS40" s="187" t="str">
        <f t="shared" si="29"/>
        <v>X</v>
      </c>
      <c r="BT40" s="19" t="str">
        <f t="shared" si="30"/>
        <v>X</v>
      </c>
      <c r="BU40" s="19" t="str">
        <f t="shared" si="31"/>
        <v/>
      </c>
      <c r="BV40" s="10"/>
      <c r="BW40" s="5" t="str">
        <f t="shared" si="32"/>
        <v/>
      </c>
      <c r="BX40" s="5" t="str">
        <f t="shared" si="33"/>
        <v/>
      </c>
      <c r="BY40"/>
      <c r="BZ40" s="5" t="str">
        <f t="shared" si="34"/>
        <v>X</v>
      </c>
      <c r="CA40" s="5" t="str">
        <f t="shared" si="35"/>
        <v>X</v>
      </c>
      <c r="CB40" s="188" t="str">
        <f t="shared" si="36"/>
        <v/>
      </c>
    </row>
    <row r="41" spans="1:80" s="27" customFormat="1" ht="30" customHeight="1" x14ac:dyDescent="0.55000000000000004">
      <c r="A41" s="104">
        <v>37</v>
      </c>
      <c r="B41" s="104" t="s">
        <v>75</v>
      </c>
      <c r="C41" s="111" t="s">
        <v>541</v>
      </c>
      <c r="D41" s="104" t="s">
        <v>77</v>
      </c>
      <c r="E41" s="104" t="s">
        <v>542</v>
      </c>
      <c r="F41" s="104" t="s">
        <v>543</v>
      </c>
      <c r="G41" s="104" t="s">
        <v>544</v>
      </c>
      <c r="H41" s="104" t="s">
        <v>545</v>
      </c>
      <c r="I41" s="104" t="s">
        <v>512</v>
      </c>
      <c r="J41" s="104"/>
      <c r="K41" s="104" t="s">
        <v>546</v>
      </c>
      <c r="L41" s="104"/>
      <c r="M41" s="104"/>
      <c r="N41" s="104"/>
      <c r="O41" s="104"/>
      <c r="P41" s="104" t="s">
        <v>85</v>
      </c>
      <c r="Q41" s="102"/>
      <c r="R41" s="104"/>
      <c r="S41" s="104" t="s">
        <v>88</v>
      </c>
      <c r="T41" s="104"/>
      <c r="U41" s="104" t="s">
        <v>547</v>
      </c>
      <c r="V41" s="104" t="s">
        <v>88</v>
      </c>
      <c r="W41" s="104" t="s">
        <v>548</v>
      </c>
      <c r="X41" s="104" t="s">
        <v>335</v>
      </c>
      <c r="Y41" s="104" t="s">
        <v>469</v>
      </c>
      <c r="Z41" s="104" t="s">
        <v>93</v>
      </c>
      <c r="AA41" s="104" t="s">
        <v>93</v>
      </c>
      <c r="AB41" s="104">
        <v>3.18</v>
      </c>
      <c r="AC41" s="104" t="s">
        <v>549</v>
      </c>
      <c r="AD41" s="104" t="s">
        <v>550</v>
      </c>
      <c r="AE41"/>
      <c r="AF41" s="30" t="str" cm="1">
        <f t="array" ref="AF41">_xlfn.IFS(COUNTIF(Table14623576[[#This Row],[PBT/ vPvB]],"*X*"), 20, TRUE, "")</f>
        <v/>
      </c>
      <c r="AG41" s="30" t="str" cm="1">
        <f t="array" ref="AG41">_xlfn.IFS(COUNTIF(Table14623576[[#This Row],[Perturbateur Endocrinien]],"*X*"), 20, TRUE, "")</f>
        <v/>
      </c>
      <c r="AH41" s="30" t="str" cm="1">
        <f t="array" ref="AH41">_xlfn.IFS(COUNTIF(Table14623576[[#This Row],[Phrases H]],"*H350*"), 20, TRUE, "")</f>
        <v/>
      </c>
      <c r="AI41" s="30" t="str" cm="1">
        <f t="array" ref="AI41">_xlfn.IFS(COUNTIF(Table14623576[[#This Row],[Phrases H]],"*H360*"), 20, TRUE, "")</f>
        <v/>
      </c>
      <c r="AJ41" s="30" t="str" cm="1">
        <f t="array" ref="AJ41">_xlfn.IFS(COUNTIF(Table14623576[[#This Row],[Phrases H]],"*H340*"), 20, TRUE, "")</f>
        <v/>
      </c>
      <c r="AK41" s="30" t="str" cm="1">
        <f t="array" ref="AK41">_xlfn.IFS(COUNTIF(Table14623576[[#This Row],[Phrases H]],"*H351*"), 10, TRUE, "")</f>
        <v/>
      </c>
      <c r="AL41" s="30" t="str" cm="1">
        <f t="array" ref="AL41">_xlfn.IFS(COUNTIF(Table14623576[[#This Row],[Phrases H]],"*H361*"), 10, TRUE, "")</f>
        <v/>
      </c>
      <c r="AM41" s="30" t="str" cm="1">
        <f t="array" ref="AM41">_xlfn.IFS(COUNTIF(Table14623576[[#This Row],[Phrases H]],"*H362*"), 10, TRUE, "")</f>
        <v/>
      </c>
      <c r="AN41" s="30" t="str" cm="1">
        <f t="array" ref="AN41">_xlfn.IFS(COUNTIF(Table14623576[[#This Row],[Phrases H]],"*H341*"), 10, TRUE, "")</f>
        <v/>
      </c>
      <c r="AO41" s="30" t="str" cm="1">
        <f t="array" ref="AO41">_xlfn.IFS(COUNTIF(Table14623576[[#This Row],[Phrases H]],"*H372*"), 10, TRUE, "")</f>
        <v/>
      </c>
      <c r="AP41" s="30" t="str" cm="1">
        <f t="array" ref="AP41">_xlfn.IFS(COUNTIF(Table14623576[[#This Row],[Phrases H]],"*H410*"), 10, TRUE, "")</f>
        <v/>
      </c>
      <c r="AQ41" s="30" t="str" cm="1">
        <f t="array" ref="AQ41">_xlfn.IFS(COUNTIF(Table14623576[[#This Row],[Phrases H]],"*H373*"), 5, TRUE, "")</f>
        <v/>
      </c>
      <c r="AR41" s="30" t="str" cm="1">
        <f t="array" ref="AR41">_xlfn.IFS(COUNTIF(Table14623576[[#This Row],[Phrases H]],"*H411*"), 5, TRUE, "")</f>
        <v/>
      </c>
      <c r="AS41" s="112">
        <f t="shared" si="12"/>
        <v>0</v>
      </c>
      <c r="AT41" s="113">
        <v>3.18</v>
      </c>
      <c r="AU41" s="139">
        <v>1E+47</v>
      </c>
      <c r="AV41" s="114">
        <f t="shared" si="0"/>
        <v>50</v>
      </c>
      <c r="AW41" s="115" t="str">
        <f t="shared" ref="AW41:AW55" si="37">IF(AT41="0","0",IF(AT41&lt;2,"20",IF(AT41&lt;3,"10","0")))</f>
        <v>0</v>
      </c>
      <c r="AX41" s="116">
        <f t="shared" si="26"/>
        <v>0</v>
      </c>
      <c r="AY41" s="117">
        <f t="shared" si="27"/>
        <v>0</v>
      </c>
      <c r="AZ41" s="118" t="str">
        <f t="shared" si="14"/>
        <v>5</v>
      </c>
      <c r="BA41" s="119" t="str">
        <f t="shared" si="28"/>
        <v>5</v>
      </c>
      <c r="BB41" s="32"/>
      <c r="BC41" s="113" t="s">
        <v>551</v>
      </c>
      <c r="BD41" s="113" t="s">
        <v>97</v>
      </c>
      <c r="BE41" s="120">
        <f t="shared" si="22"/>
        <v>25</v>
      </c>
      <c r="BF41" s="121" t="str">
        <f t="shared" si="16"/>
        <v>Production très élevée</v>
      </c>
      <c r="BG41" s="122" t="str">
        <f t="shared" si="17"/>
        <v>A</v>
      </c>
      <c r="BH41" s="32"/>
      <c r="BI41" s="7" t="s">
        <v>530</v>
      </c>
      <c r="BJ41" s="130">
        <v>2</v>
      </c>
      <c r="BK41" s="7" t="s">
        <v>530</v>
      </c>
      <c r="BL41" s="131">
        <v>2</v>
      </c>
      <c r="BM41" s="132" t="s">
        <v>131</v>
      </c>
      <c r="BN41"/>
      <c r="BO41" s="60" t="str">
        <f t="shared" si="25"/>
        <v>Catégorie 5A OUI</v>
      </c>
      <c r="BP41"/>
      <c r="BQ41" s="42" t="s">
        <v>150</v>
      </c>
      <c r="BR41"/>
      <c r="BS41" s="187" t="str">
        <f t="shared" si="29"/>
        <v/>
      </c>
      <c r="BT41" s="19" t="str">
        <f t="shared" si="30"/>
        <v/>
      </c>
      <c r="BU41" s="19" t="str">
        <f t="shared" si="31"/>
        <v/>
      </c>
      <c r="BV41" s="10"/>
      <c r="BW41" s="5" t="str">
        <f t="shared" si="32"/>
        <v/>
      </c>
      <c r="BX41" s="5" t="str">
        <f t="shared" si="33"/>
        <v>X</v>
      </c>
      <c r="BY41"/>
      <c r="BZ41" s="5" t="str">
        <f t="shared" si="34"/>
        <v>X</v>
      </c>
      <c r="CA41" s="5" t="str">
        <f t="shared" si="35"/>
        <v>X</v>
      </c>
      <c r="CB41" s="188" t="str">
        <f t="shared" si="36"/>
        <v>X</v>
      </c>
    </row>
    <row r="42" spans="1:80" s="27" customFormat="1" ht="30" customHeight="1" x14ac:dyDescent="0.55000000000000004">
      <c r="A42" s="104">
        <v>38</v>
      </c>
      <c r="B42" s="104" t="s">
        <v>75</v>
      </c>
      <c r="C42" s="111" t="s">
        <v>552</v>
      </c>
      <c r="D42" s="104" t="s">
        <v>553</v>
      </c>
      <c r="E42" s="104" t="s">
        <v>554</v>
      </c>
      <c r="F42" s="104" t="s">
        <v>555</v>
      </c>
      <c r="G42" s="104" t="s">
        <v>556</v>
      </c>
      <c r="H42" s="104" t="s">
        <v>557</v>
      </c>
      <c r="I42" s="104" t="s">
        <v>82</v>
      </c>
      <c r="J42" s="104"/>
      <c r="K42" s="104" t="s">
        <v>84</v>
      </c>
      <c r="L42" s="104"/>
      <c r="M42" s="104"/>
      <c r="N42" s="104"/>
      <c r="O42" s="104"/>
      <c r="P42" s="104"/>
      <c r="Q42" s="102"/>
      <c r="R42" s="104" t="s">
        <v>85</v>
      </c>
      <c r="S42" s="104" t="s">
        <v>86</v>
      </c>
      <c r="T42" s="104"/>
      <c r="U42" s="104" t="s">
        <v>108</v>
      </c>
      <c r="V42" s="104" t="s">
        <v>88</v>
      </c>
      <c r="W42" s="104" t="s">
        <v>558</v>
      </c>
      <c r="X42" s="104" t="s">
        <v>335</v>
      </c>
      <c r="Y42" s="104" t="s">
        <v>559</v>
      </c>
      <c r="Z42" s="104" t="s">
        <v>560</v>
      </c>
      <c r="AA42" s="104" t="s">
        <v>93</v>
      </c>
      <c r="AB42" s="128">
        <f>LOG(229000)</f>
        <v>5.3598354823398884</v>
      </c>
      <c r="AC42" s="104" t="s">
        <v>561</v>
      </c>
      <c r="AD42" s="104" t="s">
        <v>562</v>
      </c>
      <c r="AE42"/>
      <c r="AF42" s="30" cm="1">
        <f t="array" ref="AF42">_xlfn.IFS(COUNTIF(Table14623576[[#This Row],[PBT/ vPvB]],"*X*"), 20, TRUE, "")</f>
        <v>20</v>
      </c>
      <c r="AG42" s="30" t="str" cm="1">
        <f t="array" ref="AG42">_xlfn.IFS(COUNTIF(Table14623576[[#This Row],[Perturbateur Endocrinien]],"*X*"), 20, TRUE, "")</f>
        <v/>
      </c>
      <c r="AH42" s="30" t="str" cm="1">
        <f t="array" ref="AH42">_xlfn.IFS(COUNTIF(Table14623576[[#This Row],[Phrases H]],"*H350*"), 20, TRUE, "")</f>
        <v/>
      </c>
      <c r="AI42" s="30" t="str" cm="1">
        <f t="array" ref="AI42">_xlfn.IFS(COUNTIF(Table14623576[[#This Row],[Phrases H]],"*H360*"), 20, TRUE, "")</f>
        <v/>
      </c>
      <c r="AJ42" s="30" t="str" cm="1">
        <f t="array" ref="AJ42">_xlfn.IFS(COUNTIF(Table14623576[[#This Row],[Phrases H]],"*H340*"), 20, TRUE, "")</f>
        <v/>
      </c>
      <c r="AK42" s="30" t="str" cm="1">
        <f t="array" ref="AK42">_xlfn.IFS(COUNTIF(Table14623576[[#This Row],[Phrases H]],"*H351*"), 10, TRUE, "")</f>
        <v/>
      </c>
      <c r="AL42" s="30" t="str" cm="1">
        <f t="array" ref="AL42">_xlfn.IFS(COUNTIF(Table14623576[[#This Row],[Phrases H]],"*H361*"), 10, TRUE, "")</f>
        <v/>
      </c>
      <c r="AM42" s="30" t="str" cm="1">
        <f t="array" ref="AM42">_xlfn.IFS(COUNTIF(Table14623576[[#This Row],[Phrases H]],"*H362*"), 10, TRUE, "")</f>
        <v/>
      </c>
      <c r="AN42" s="30" t="str" cm="1">
        <f t="array" ref="AN42">_xlfn.IFS(COUNTIF(Table14623576[[#This Row],[Phrases H]],"*H341*"), 10, TRUE, "")</f>
        <v/>
      </c>
      <c r="AO42" s="30" t="str" cm="1">
        <f t="array" ref="AO42">_xlfn.IFS(COUNTIF(Table14623576[[#This Row],[Phrases H]],"*H372*"), 10, TRUE, "")</f>
        <v/>
      </c>
      <c r="AP42" s="30" t="str" cm="1">
        <f t="array" ref="AP42">_xlfn.IFS(COUNTIF(Table14623576[[#This Row],[Phrases H]],"*H410*"), 10, TRUE, "")</f>
        <v/>
      </c>
      <c r="AQ42" s="30" t="str" cm="1">
        <f t="array" ref="AQ42">_xlfn.IFS(COUNTIF(Table14623576[[#This Row],[Phrases H]],"*H373*"), 5, TRUE, "")</f>
        <v/>
      </c>
      <c r="AR42" s="30" t="str" cm="1">
        <f t="array" ref="AR42">_xlfn.IFS(COUNTIF(Table14623576[[#This Row],[Phrases H]],"*H411*"), 5, TRUE, "")</f>
        <v/>
      </c>
      <c r="AS42" s="112">
        <f t="shared" si="12"/>
        <v>20</v>
      </c>
      <c r="AT42" s="129">
        <f>LOG(229000)</f>
        <v>5.3598354823398884</v>
      </c>
      <c r="AU42" s="113">
        <v>2.0000000000000001E-4</v>
      </c>
      <c r="AV42" s="114">
        <f t="shared" si="0"/>
        <v>10</v>
      </c>
      <c r="AW42" s="115" t="str">
        <f t="shared" si="37"/>
        <v>0</v>
      </c>
      <c r="AX42" s="116">
        <f t="shared" si="26"/>
        <v>20</v>
      </c>
      <c r="AY42" s="117">
        <f t="shared" si="27"/>
        <v>0.23529411764705882</v>
      </c>
      <c r="AZ42" s="118" t="str">
        <f t="shared" si="14"/>
        <v>4</v>
      </c>
      <c r="BA42" s="119" t="str">
        <f t="shared" si="28"/>
        <v>4</v>
      </c>
      <c r="BB42" s="32"/>
      <c r="BC42" s="113">
        <v>1000</v>
      </c>
      <c r="BD42" s="113" t="s">
        <v>97</v>
      </c>
      <c r="BE42" s="120">
        <f t="shared" si="22"/>
        <v>15</v>
      </c>
      <c r="BF42" s="121" t="str">
        <f t="shared" si="16"/>
        <v>Production modérée</v>
      </c>
      <c r="BG42" s="122" t="str">
        <f t="shared" si="17"/>
        <v>C</v>
      </c>
      <c r="BH42" s="32"/>
      <c r="BI42" s="7"/>
      <c r="BJ42" s="130">
        <v>0</v>
      </c>
      <c r="BK42" s="7"/>
      <c r="BL42" s="131">
        <v>0</v>
      </c>
      <c r="BM42" s="132" t="s">
        <v>99</v>
      </c>
      <c r="BN42"/>
      <c r="BO42" s="60" t="str">
        <f t="shared" si="25"/>
        <v>Catégorie 4C NON</v>
      </c>
      <c r="BP42"/>
      <c r="BQ42" s="42" t="s">
        <v>88</v>
      </c>
      <c r="BR42"/>
      <c r="BS42" s="187" t="str">
        <f t="shared" si="29"/>
        <v/>
      </c>
      <c r="BT42" s="19" t="str">
        <f t="shared" si="30"/>
        <v/>
      </c>
      <c r="BU42" s="19" t="str">
        <f t="shared" si="31"/>
        <v/>
      </c>
      <c r="BV42" s="10"/>
      <c r="BW42" s="5" t="str">
        <f t="shared" si="32"/>
        <v/>
      </c>
      <c r="BX42" s="5" t="str">
        <f t="shared" si="33"/>
        <v/>
      </c>
      <c r="BY42"/>
      <c r="BZ42" s="5" t="str">
        <f t="shared" si="34"/>
        <v/>
      </c>
      <c r="CA42" s="5" t="str">
        <f t="shared" si="35"/>
        <v/>
      </c>
      <c r="CB42" s="188" t="str">
        <f t="shared" si="36"/>
        <v/>
      </c>
    </row>
    <row r="43" spans="1:80" s="27" customFormat="1" ht="30" customHeight="1" x14ac:dyDescent="0.55000000000000004">
      <c r="A43" s="104">
        <v>39</v>
      </c>
      <c r="B43" s="104" t="s">
        <v>75</v>
      </c>
      <c r="C43" s="111" t="s">
        <v>563</v>
      </c>
      <c r="D43" s="104" t="s">
        <v>564</v>
      </c>
      <c r="E43" s="104" t="s">
        <v>565</v>
      </c>
      <c r="F43" s="104" t="s">
        <v>566</v>
      </c>
      <c r="G43" s="104" t="s">
        <v>567</v>
      </c>
      <c r="H43" s="104" t="s">
        <v>568</v>
      </c>
      <c r="I43" s="104" t="s">
        <v>82</v>
      </c>
      <c r="J43" s="104"/>
      <c r="K43" s="104" t="s">
        <v>84</v>
      </c>
      <c r="L43" s="104"/>
      <c r="M43" s="104"/>
      <c r="N43" s="104"/>
      <c r="O43" s="104"/>
      <c r="P43" s="104"/>
      <c r="Q43" s="102"/>
      <c r="R43" s="104"/>
      <c r="S43" s="104" t="s">
        <v>86</v>
      </c>
      <c r="T43" s="134" t="s">
        <v>85</v>
      </c>
      <c r="U43" s="104" t="s">
        <v>569</v>
      </c>
      <c r="V43" s="104" t="s">
        <v>122</v>
      </c>
      <c r="W43" s="104" t="s">
        <v>570</v>
      </c>
      <c r="X43" s="104" t="s">
        <v>571</v>
      </c>
      <c r="Y43" s="104" t="s">
        <v>434</v>
      </c>
      <c r="Z43" s="104" t="s">
        <v>572</v>
      </c>
      <c r="AA43" s="104">
        <v>15</v>
      </c>
      <c r="AB43" s="128">
        <f>LOG(10.5)</f>
        <v>1.0211892990699381</v>
      </c>
      <c r="AC43" s="104" t="s">
        <v>573</v>
      </c>
      <c r="AD43" s="104" t="s">
        <v>574</v>
      </c>
      <c r="AE43"/>
      <c r="AF43" s="30" t="str" cm="1">
        <f t="array" ref="AF43">_xlfn.IFS(COUNTIF(Table14623576[[#This Row],[PBT/ vPvB]],"*X*"), 20, TRUE, "")</f>
        <v/>
      </c>
      <c r="AG43" s="30" cm="1">
        <f t="array" ref="AG43">_xlfn.IFS(COUNTIF(Table14623576[[#This Row],[Perturbateur Endocrinien]],"*X*"), 20, TRUE, "")</f>
        <v>20</v>
      </c>
      <c r="AH43" s="30" t="str" cm="1">
        <f t="array" ref="AH43">_xlfn.IFS(COUNTIF(Table14623576[[#This Row],[Phrases H]],"*H350*"), 20, TRUE, "")</f>
        <v/>
      </c>
      <c r="AI43" s="30" t="str" cm="1">
        <f t="array" ref="AI43">_xlfn.IFS(COUNTIF(Table14623576[[#This Row],[Phrases H]],"*H360*"), 20, TRUE, "")</f>
        <v/>
      </c>
      <c r="AJ43" s="30" t="str" cm="1">
        <f t="array" ref="AJ43">_xlfn.IFS(COUNTIF(Table14623576[[#This Row],[Phrases H]],"*H340*"), 20, TRUE, "")</f>
        <v/>
      </c>
      <c r="AK43" s="30" t="str" cm="1">
        <f t="array" ref="AK43">_xlfn.IFS(COUNTIF(Table14623576[[#This Row],[Phrases H]],"*H351*"), 10, TRUE, "")</f>
        <v/>
      </c>
      <c r="AL43" s="30" t="str" cm="1">
        <f t="array" ref="AL43">_xlfn.IFS(COUNTIF(Table14623576[[#This Row],[Phrases H]],"*H361*"), 10, TRUE, "")</f>
        <v/>
      </c>
      <c r="AM43" s="30" t="str" cm="1">
        <f t="array" ref="AM43">_xlfn.IFS(COUNTIF(Table14623576[[#This Row],[Phrases H]],"*H362*"), 10, TRUE, "")</f>
        <v/>
      </c>
      <c r="AN43" s="30" t="str" cm="1">
        <f t="array" ref="AN43">_xlfn.IFS(COUNTIF(Table14623576[[#This Row],[Phrases H]],"*H341*"), 10, TRUE, "")</f>
        <v/>
      </c>
      <c r="AO43" s="30" t="str" cm="1">
        <f t="array" ref="AO43">_xlfn.IFS(COUNTIF(Table14623576[[#This Row],[Phrases H]],"*H372*"), 10, TRUE, "")</f>
        <v/>
      </c>
      <c r="AP43" s="30" cm="1">
        <f t="array" ref="AP43">_xlfn.IFS(COUNTIF(Table14623576[[#This Row],[Phrases H]],"*H410*"), 10, TRUE, "")</f>
        <v>10</v>
      </c>
      <c r="AQ43" s="30" t="str" cm="1">
        <f t="array" ref="AQ43">_xlfn.IFS(COUNTIF(Table14623576[[#This Row],[Phrases H]],"*H373*"), 5, TRUE, "")</f>
        <v/>
      </c>
      <c r="AR43" s="30" t="str" cm="1">
        <f t="array" ref="AR43">_xlfn.IFS(COUNTIF(Table14623576[[#This Row],[Phrases H]],"*H411*"), 5, TRUE, "")</f>
        <v/>
      </c>
      <c r="AS43" s="112">
        <f t="shared" si="12"/>
        <v>30</v>
      </c>
      <c r="AT43" s="129">
        <f>LOG(10.5)</f>
        <v>1.0211892990699381</v>
      </c>
      <c r="AU43" s="113">
        <v>304000</v>
      </c>
      <c r="AV43" s="114">
        <f t="shared" si="0"/>
        <v>50</v>
      </c>
      <c r="AW43" s="115" t="str">
        <f t="shared" si="37"/>
        <v>20</v>
      </c>
      <c r="AX43" s="116">
        <f t="shared" si="26"/>
        <v>50</v>
      </c>
      <c r="AY43" s="117">
        <f t="shared" si="27"/>
        <v>0.58823529411764708</v>
      </c>
      <c r="AZ43" s="118" t="str">
        <f t="shared" si="14"/>
        <v>3</v>
      </c>
      <c r="BA43" s="119" t="str">
        <f t="shared" si="28"/>
        <v>3</v>
      </c>
      <c r="BB43" s="32"/>
      <c r="BC43" s="113">
        <v>1000</v>
      </c>
      <c r="BD43" s="113" t="s">
        <v>97</v>
      </c>
      <c r="BE43" s="120">
        <f t="shared" si="22"/>
        <v>15</v>
      </c>
      <c r="BF43" s="121" t="str">
        <f t="shared" si="16"/>
        <v>Production modérée</v>
      </c>
      <c r="BG43" s="122" t="str">
        <f t="shared" si="17"/>
        <v>C</v>
      </c>
      <c r="BH43" s="32"/>
      <c r="BI43" s="7"/>
      <c r="BJ43" s="130">
        <v>0</v>
      </c>
      <c r="BK43" s="7"/>
      <c r="BL43" s="131">
        <v>0</v>
      </c>
      <c r="BM43" s="132" t="s">
        <v>99</v>
      </c>
      <c r="BN43"/>
      <c r="BO43" s="60" t="str">
        <f t="shared" si="25"/>
        <v>Catégorie 3C NON</v>
      </c>
      <c r="BP43"/>
      <c r="BQ43" s="42" t="s">
        <v>88</v>
      </c>
      <c r="BR43"/>
      <c r="BS43" s="187" t="str">
        <f t="shared" si="29"/>
        <v>X</v>
      </c>
      <c r="BT43" s="19" t="str">
        <f t="shared" si="30"/>
        <v>X</v>
      </c>
      <c r="BU43" s="19" t="str">
        <f t="shared" si="31"/>
        <v/>
      </c>
      <c r="BV43" s="10"/>
      <c r="BW43" s="5" t="str">
        <f t="shared" si="32"/>
        <v/>
      </c>
      <c r="BX43" s="5" t="str">
        <f t="shared" si="33"/>
        <v/>
      </c>
      <c r="BY43"/>
      <c r="BZ43" s="5" t="str">
        <f t="shared" si="34"/>
        <v>X</v>
      </c>
      <c r="CA43" s="5" t="str">
        <f t="shared" si="35"/>
        <v>X</v>
      </c>
      <c r="CB43" s="188" t="str">
        <f t="shared" si="36"/>
        <v/>
      </c>
    </row>
    <row r="44" spans="1:80" s="27" customFormat="1" ht="30" customHeight="1" x14ac:dyDescent="0.55000000000000004">
      <c r="A44" s="104">
        <v>40</v>
      </c>
      <c r="B44" s="104" t="s">
        <v>75</v>
      </c>
      <c r="C44" s="111" t="s">
        <v>575</v>
      </c>
      <c r="D44" s="104" t="s">
        <v>77</v>
      </c>
      <c r="E44" s="104" t="s">
        <v>576</v>
      </c>
      <c r="F44" s="104" t="s">
        <v>577</v>
      </c>
      <c r="G44" s="104" t="s">
        <v>578</v>
      </c>
      <c r="H44" s="104" t="s">
        <v>88</v>
      </c>
      <c r="I44" s="104" t="s">
        <v>82</v>
      </c>
      <c r="J44" s="104"/>
      <c r="K44" s="104" t="s">
        <v>579</v>
      </c>
      <c r="L44" s="104"/>
      <c r="M44" s="104"/>
      <c r="N44" s="104"/>
      <c r="O44" s="104"/>
      <c r="P44" s="104" t="s">
        <v>85</v>
      </c>
      <c r="Q44" s="102"/>
      <c r="R44" s="104"/>
      <c r="S44" s="104" t="s">
        <v>88</v>
      </c>
      <c r="T44" s="104"/>
      <c r="U44" s="104" t="s">
        <v>580</v>
      </c>
      <c r="V44" s="104" t="s">
        <v>122</v>
      </c>
      <c r="W44" s="104" t="s">
        <v>581</v>
      </c>
      <c r="X44" s="104" t="s">
        <v>582</v>
      </c>
      <c r="Y44" s="104" t="s">
        <v>583</v>
      </c>
      <c r="Z44" s="104" t="s">
        <v>584</v>
      </c>
      <c r="AA44" s="104" t="s">
        <v>93</v>
      </c>
      <c r="AB44" s="128">
        <v>2.1972358192621302</v>
      </c>
      <c r="AC44" s="104" t="s">
        <v>585</v>
      </c>
      <c r="AD44" s="104" t="s">
        <v>586</v>
      </c>
      <c r="AE44"/>
      <c r="AF44" s="30" t="str" cm="1">
        <f t="array" ref="AF44">_xlfn.IFS(COUNTIF(Table14623576[[#This Row],[PBT/ vPvB]],"*X*"), 20, TRUE, "")</f>
        <v/>
      </c>
      <c r="AG44" s="30" t="str" cm="1">
        <f t="array" ref="AG44">_xlfn.IFS(COUNTIF(Table14623576[[#This Row],[Perturbateur Endocrinien]],"*X*"), 20, TRUE, "")</f>
        <v/>
      </c>
      <c r="AH44" s="30" t="str" cm="1">
        <f t="array" ref="AH44">_xlfn.IFS(COUNTIF(Table14623576[[#This Row],[Phrases H]],"*H350*"), 20, TRUE, "")</f>
        <v/>
      </c>
      <c r="AI44" s="30" t="str" cm="1">
        <f t="array" ref="AI44">_xlfn.IFS(COUNTIF(Table14623576[[#This Row],[Phrases H]],"*H360*"), 20, TRUE, "")</f>
        <v/>
      </c>
      <c r="AJ44" s="30" t="str" cm="1">
        <f t="array" ref="AJ44">_xlfn.IFS(COUNTIF(Table14623576[[#This Row],[Phrases H]],"*H340*"), 20, TRUE, "")</f>
        <v/>
      </c>
      <c r="AK44" s="30" t="str" cm="1">
        <f t="array" ref="AK44">_xlfn.IFS(COUNTIF(Table14623576[[#This Row],[Phrases H]],"*H351*"), 10, TRUE, "")</f>
        <v/>
      </c>
      <c r="AL44" s="30" t="str" cm="1">
        <f t="array" ref="AL44">_xlfn.IFS(COUNTIF(Table14623576[[#This Row],[Phrases H]],"*H361*"), 10, TRUE, "")</f>
        <v/>
      </c>
      <c r="AM44" s="30" t="str" cm="1">
        <f t="array" ref="AM44">_xlfn.IFS(COUNTIF(Table14623576[[#This Row],[Phrases H]],"*H362*"), 10, TRUE, "")</f>
        <v/>
      </c>
      <c r="AN44" s="30" cm="1">
        <f t="array" ref="AN44">_xlfn.IFS(COUNTIF(Table14623576[[#This Row],[Phrases H]],"*H341*"), 10, TRUE, "")</f>
        <v>10</v>
      </c>
      <c r="AO44" s="30" t="str" cm="1">
        <f t="array" ref="AO44">_xlfn.IFS(COUNTIF(Table14623576[[#This Row],[Phrases H]],"*H372*"), 10, TRUE, "")</f>
        <v/>
      </c>
      <c r="AP44" s="30" t="str" cm="1">
        <f t="array" ref="AP44">_xlfn.IFS(COUNTIF(Table14623576[[#This Row],[Phrases H]],"*H410*"), 10, TRUE, "")</f>
        <v/>
      </c>
      <c r="AQ44" s="30" cm="1">
        <f t="array" ref="AQ44">_xlfn.IFS(COUNTIF(Table14623576[[#This Row],[Phrases H]],"*H373*"), 5, TRUE, "")</f>
        <v>5</v>
      </c>
      <c r="AR44" s="30" t="str" cm="1">
        <f t="array" ref="AR44">_xlfn.IFS(COUNTIF(Table14623576[[#This Row],[Phrases H]],"*H411*"), 5, TRUE, "")</f>
        <v/>
      </c>
      <c r="AS44" s="112">
        <f t="shared" si="12"/>
        <v>15</v>
      </c>
      <c r="AT44" s="129">
        <v>2.1972358192621302</v>
      </c>
      <c r="AU44" s="113">
        <v>27997</v>
      </c>
      <c r="AV44" s="114">
        <f t="shared" si="0"/>
        <v>40</v>
      </c>
      <c r="AW44" s="115" t="str">
        <f t="shared" si="37"/>
        <v>10</v>
      </c>
      <c r="AX44" s="116">
        <f t="shared" si="26"/>
        <v>25</v>
      </c>
      <c r="AY44" s="117">
        <f t="shared" si="27"/>
        <v>0.29411764705882354</v>
      </c>
      <c r="AZ44" s="118" t="str">
        <f t="shared" si="14"/>
        <v>4</v>
      </c>
      <c r="BA44" s="119" t="str">
        <f t="shared" si="28"/>
        <v>4</v>
      </c>
      <c r="BB44" s="32"/>
      <c r="BC44" s="113" t="s">
        <v>256</v>
      </c>
      <c r="BD44" s="113" t="s">
        <v>97</v>
      </c>
      <c r="BE44" s="120">
        <f t="shared" si="22"/>
        <v>25</v>
      </c>
      <c r="BF44" s="121" t="str">
        <f t="shared" si="16"/>
        <v>Production très élevée</v>
      </c>
      <c r="BG44" s="122" t="str">
        <f t="shared" si="17"/>
        <v>A</v>
      </c>
      <c r="BH44" s="32"/>
      <c r="BI44" s="7" t="s">
        <v>415</v>
      </c>
      <c r="BJ44" s="130">
        <v>1</v>
      </c>
      <c r="BK44" s="7"/>
      <c r="BL44" s="131">
        <v>0</v>
      </c>
      <c r="BM44" s="132" t="s">
        <v>99</v>
      </c>
      <c r="BN44"/>
      <c r="BO44" s="60" t="str">
        <f t="shared" si="25"/>
        <v>Catégorie 4A NON</v>
      </c>
      <c r="BP44"/>
      <c r="BQ44" s="42" t="s">
        <v>150</v>
      </c>
      <c r="BR44"/>
      <c r="BS44" s="187" t="str">
        <f t="shared" si="29"/>
        <v/>
      </c>
      <c r="BT44" s="19" t="str">
        <f t="shared" si="30"/>
        <v/>
      </c>
      <c r="BU44" s="19" t="str">
        <f t="shared" si="31"/>
        <v/>
      </c>
      <c r="BV44" s="10"/>
      <c r="BW44" s="5" t="str">
        <f t="shared" si="32"/>
        <v/>
      </c>
      <c r="BX44" s="5" t="str">
        <f t="shared" si="33"/>
        <v/>
      </c>
      <c r="BY44"/>
      <c r="BZ44" s="5" t="str">
        <f t="shared" si="34"/>
        <v/>
      </c>
      <c r="CA44" s="5" t="str">
        <f t="shared" si="35"/>
        <v/>
      </c>
      <c r="CB44" s="188" t="str">
        <f t="shared" si="36"/>
        <v/>
      </c>
    </row>
    <row r="45" spans="1:80" s="27" customFormat="1" ht="30" customHeight="1" x14ac:dyDescent="0.55000000000000004">
      <c r="A45" s="104">
        <v>41</v>
      </c>
      <c r="B45" s="104" t="s">
        <v>75</v>
      </c>
      <c r="C45" s="111" t="s">
        <v>587</v>
      </c>
      <c r="D45" s="104" t="s">
        <v>77</v>
      </c>
      <c r="E45" s="104" t="s">
        <v>588</v>
      </c>
      <c r="F45" s="104" t="s">
        <v>589</v>
      </c>
      <c r="G45" s="104" t="s">
        <v>590</v>
      </c>
      <c r="H45" s="104" t="s">
        <v>591</v>
      </c>
      <c r="I45" s="104" t="s">
        <v>82</v>
      </c>
      <c r="J45" s="104"/>
      <c r="K45" s="104" t="s">
        <v>84</v>
      </c>
      <c r="L45" s="104"/>
      <c r="M45" s="104"/>
      <c r="N45" s="104"/>
      <c r="O45" s="104"/>
      <c r="P45" s="104" t="s">
        <v>85</v>
      </c>
      <c r="Q45" s="102"/>
      <c r="R45" s="104"/>
      <c r="S45" s="104" t="s">
        <v>86</v>
      </c>
      <c r="T45" s="104"/>
      <c r="U45" s="104" t="s">
        <v>592</v>
      </c>
      <c r="V45" s="104" t="s">
        <v>122</v>
      </c>
      <c r="W45" s="138" t="s">
        <v>593</v>
      </c>
      <c r="X45" s="104" t="s">
        <v>594</v>
      </c>
      <c r="Y45" s="104" t="s">
        <v>595</v>
      </c>
      <c r="Z45" s="104" t="s">
        <v>596</v>
      </c>
      <c r="AA45" s="104" t="s">
        <v>93</v>
      </c>
      <c r="AB45" s="104">
        <v>2.1</v>
      </c>
      <c r="AC45" s="104" t="s">
        <v>597</v>
      </c>
      <c r="AD45" s="104" t="s">
        <v>598</v>
      </c>
      <c r="AE45"/>
      <c r="AF45" s="30" t="str" cm="1">
        <f t="array" ref="AF45">_xlfn.IFS(COUNTIF(Table14623576[[#This Row],[PBT/ vPvB]],"*X*"), 20, TRUE, "")</f>
        <v/>
      </c>
      <c r="AG45" s="30" t="str" cm="1">
        <f t="array" ref="AG45">_xlfn.IFS(COUNTIF(Table14623576[[#This Row],[Perturbateur Endocrinien]],"*X*"), 20, TRUE, "")</f>
        <v/>
      </c>
      <c r="AH45" s="30" t="str" cm="1">
        <f t="array" ref="AH45">_xlfn.IFS(COUNTIF(Table14623576[[#This Row],[Phrases H]],"*H350*"), 20, TRUE, "")</f>
        <v/>
      </c>
      <c r="AI45" s="30" t="str" cm="1">
        <f t="array" ref="AI45">_xlfn.IFS(COUNTIF(Table14623576[[#This Row],[Phrases H]],"*H360*"), 20, TRUE, "")</f>
        <v/>
      </c>
      <c r="AJ45" s="30" t="str" cm="1">
        <f t="array" ref="AJ45">_xlfn.IFS(COUNTIF(Table14623576[[#This Row],[Phrases H]],"*H340*"), 20, TRUE, "")</f>
        <v/>
      </c>
      <c r="AK45" s="30" t="str" cm="1">
        <f t="array" ref="AK45">_xlfn.IFS(COUNTIF(Table14623576[[#This Row],[Phrases H]],"*H351*"), 10, TRUE, "")</f>
        <v/>
      </c>
      <c r="AL45" s="30" t="str" cm="1">
        <f t="array" ref="AL45">_xlfn.IFS(COUNTIF(Table14623576[[#This Row],[Phrases H]],"*H361*"), 10, TRUE, "")</f>
        <v/>
      </c>
      <c r="AM45" s="30" t="str" cm="1">
        <f t="array" ref="AM45">_xlfn.IFS(COUNTIF(Table14623576[[#This Row],[Phrases H]],"*H362*"), 10, TRUE, "")</f>
        <v/>
      </c>
      <c r="AN45" s="30" t="str" cm="1">
        <f t="array" ref="AN45">_xlfn.IFS(COUNTIF(Table14623576[[#This Row],[Phrases H]],"*H341*"), 10, TRUE, "")</f>
        <v/>
      </c>
      <c r="AO45" s="30" t="str" cm="1">
        <f t="array" ref="AO45">_xlfn.IFS(COUNTIF(Table14623576[[#This Row],[Phrases H]],"*H372*"), 10, TRUE, "")</f>
        <v/>
      </c>
      <c r="AP45" s="30" t="str" cm="1">
        <f t="array" ref="AP45">_xlfn.IFS(COUNTIF(Table14623576[[#This Row],[Phrases H]],"*H410*"), 10, TRUE, "")</f>
        <v/>
      </c>
      <c r="AQ45" s="30" t="str" cm="1">
        <f t="array" ref="AQ45">_xlfn.IFS(COUNTIF(Table14623576[[#This Row],[Phrases H]],"*H373*"), 5, TRUE, "")</f>
        <v/>
      </c>
      <c r="AR45" s="30" cm="1">
        <f t="array" ref="AR45">_xlfn.IFS(COUNTIF(Table14623576[[#This Row],[Phrases H]],"*H411*"), 5, TRUE, "")</f>
        <v>5</v>
      </c>
      <c r="AS45" s="112">
        <f t="shared" si="12"/>
        <v>5</v>
      </c>
      <c r="AT45" s="113">
        <v>2.1</v>
      </c>
      <c r="AU45" s="139">
        <v>3100</v>
      </c>
      <c r="AV45" s="114">
        <f t="shared" si="0"/>
        <v>40</v>
      </c>
      <c r="AW45" s="115" t="str">
        <f t="shared" si="37"/>
        <v>10</v>
      </c>
      <c r="AX45" s="116">
        <f t="shared" si="26"/>
        <v>15</v>
      </c>
      <c r="AY45" s="117">
        <f t="shared" si="27"/>
        <v>0.17647058823529413</v>
      </c>
      <c r="AZ45" s="118" t="str">
        <f t="shared" si="14"/>
        <v>5</v>
      </c>
      <c r="BA45" s="119" t="str">
        <f t="shared" si="28"/>
        <v>5</v>
      </c>
      <c r="BB45" s="32"/>
      <c r="BC45" s="113">
        <v>1000</v>
      </c>
      <c r="BD45" s="113" t="s">
        <v>97</v>
      </c>
      <c r="BE45" s="120">
        <f t="shared" si="22"/>
        <v>15</v>
      </c>
      <c r="BF45" s="121" t="str">
        <f t="shared" si="16"/>
        <v>Production modérée</v>
      </c>
      <c r="BG45" s="122" t="str">
        <f t="shared" si="17"/>
        <v>C</v>
      </c>
      <c r="BH45" s="32"/>
      <c r="BI45" s="7" t="s">
        <v>415</v>
      </c>
      <c r="BJ45" s="130">
        <v>1</v>
      </c>
      <c r="BK45" s="7" t="s">
        <v>415</v>
      </c>
      <c r="BL45" s="131">
        <v>1</v>
      </c>
      <c r="BM45" s="132" t="s">
        <v>131</v>
      </c>
      <c r="BN45"/>
      <c r="BO45" s="60" t="str">
        <f t="shared" si="25"/>
        <v>Catégorie 5C OUI</v>
      </c>
      <c r="BP45"/>
      <c r="BQ45" s="42" t="s">
        <v>164</v>
      </c>
      <c r="BR45"/>
      <c r="BS45" s="187" t="str">
        <f t="shared" si="29"/>
        <v/>
      </c>
      <c r="BT45" s="19" t="str">
        <f t="shared" si="30"/>
        <v/>
      </c>
      <c r="BU45" s="19" t="str">
        <f t="shared" si="31"/>
        <v/>
      </c>
      <c r="BV45" s="10"/>
      <c r="BW45" s="5" t="str">
        <f t="shared" si="32"/>
        <v/>
      </c>
      <c r="BX45" s="5" t="str">
        <f t="shared" si="33"/>
        <v>X</v>
      </c>
      <c r="BY45"/>
      <c r="BZ45" s="5" t="str">
        <f t="shared" si="34"/>
        <v>X</v>
      </c>
      <c r="CA45" s="5" t="str">
        <f t="shared" si="35"/>
        <v>X</v>
      </c>
      <c r="CB45" s="188" t="str">
        <f t="shared" si="36"/>
        <v>X</v>
      </c>
    </row>
    <row r="46" spans="1:80" s="27" customFormat="1" ht="30" customHeight="1" x14ac:dyDescent="0.55000000000000004">
      <c r="A46" s="104">
        <v>42</v>
      </c>
      <c r="B46" s="104" t="s">
        <v>75</v>
      </c>
      <c r="C46" s="111" t="s">
        <v>599</v>
      </c>
      <c r="D46" s="104" t="s">
        <v>600</v>
      </c>
      <c r="E46" s="104" t="s">
        <v>601</v>
      </c>
      <c r="F46" s="104" t="s">
        <v>602</v>
      </c>
      <c r="G46" s="104" t="s">
        <v>603</v>
      </c>
      <c r="H46" s="104" t="s">
        <v>604</v>
      </c>
      <c r="I46" s="104" t="s">
        <v>605</v>
      </c>
      <c r="J46" s="104"/>
      <c r="K46" s="104" t="s">
        <v>357</v>
      </c>
      <c r="L46" s="104"/>
      <c r="M46" s="104"/>
      <c r="N46" s="104"/>
      <c r="O46" s="104"/>
      <c r="P46" s="104"/>
      <c r="Q46" s="102"/>
      <c r="R46" s="104"/>
      <c r="S46" s="104" t="s">
        <v>86</v>
      </c>
      <c r="T46" s="104"/>
      <c r="U46" s="104" t="s">
        <v>606</v>
      </c>
      <c r="V46" s="104" t="s">
        <v>88</v>
      </c>
      <c r="W46" s="104" t="s">
        <v>607</v>
      </c>
      <c r="X46" s="104" t="s">
        <v>608</v>
      </c>
      <c r="Y46" s="104" t="s">
        <v>434</v>
      </c>
      <c r="Z46" s="104" t="s">
        <v>609</v>
      </c>
      <c r="AA46" s="104">
        <v>25</v>
      </c>
      <c r="AB46" s="128">
        <f>LOG(25.1)</f>
        <v>1.3996737214810382</v>
      </c>
      <c r="AC46" s="104" t="s">
        <v>610</v>
      </c>
      <c r="AD46" s="104" t="s">
        <v>611</v>
      </c>
      <c r="AE46"/>
      <c r="AF46" s="30" t="str" cm="1">
        <f t="array" ref="AF46">_xlfn.IFS(COUNTIF(Table14623576[[#This Row],[PBT/ vPvB]],"*X*"), 20, TRUE, "")</f>
        <v/>
      </c>
      <c r="AG46" s="30" t="str" cm="1">
        <f t="array" ref="AG46">_xlfn.IFS(COUNTIF(Table14623576[[#This Row],[Perturbateur Endocrinien]],"*X*"), 20, TRUE, "")</f>
        <v/>
      </c>
      <c r="AH46" s="30" t="str" cm="1">
        <f t="array" ref="AH46">_xlfn.IFS(COUNTIF(Table14623576[[#This Row],[Phrases H]],"*H350*"), 20, TRUE, "")</f>
        <v/>
      </c>
      <c r="AI46" s="30" cm="1">
        <f t="array" ref="AI46">_xlfn.IFS(COUNTIF(Table14623576[[#This Row],[Phrases H]],"*H360*"), 20, TRUE, "")</f>
        <v>20</v>
      </c>
      <c r="AJ46" s="30" t="str" cm="1">
        <f t="array" ref="AJ46">_xlfn.IFS(COUNTIF(Table14623576[[#This Row],[Phrases H]],"*H340*"), 20, TRUE, "")</f>
        <v/>
      </c>
      <c r="AK46" s="30" t="str" cm="1">
        <f t="array" ref="AK46">_xlfn.IFS(COUNTIF(Table14623576[[#This Row],[Phrases H]],"*H351*"), 10, TRUE, "")</f>
        <v/>
      </c>
      <c r="AL46" s="30" t="str" cm="1">
        <f t="array" ref="AL46">_xlfn.IFS(COUNTIF(Table14623576[[#This Row],[Phrases H]],"*H361*"), 10, TRUE, "")</f>
        <v/>
      </c>
      <c r="AM46" s="30"/>
      <c r="AN46" s="30" t="str" cm="1">
        <f t="array" ref="AN46">_xlfn.IFS(COUNTIF(Table14623576[[#This Row],[Phrases H]],"*H341*"), 10, TRUE, "")</f>
        <v/>
      </c>
      <c r="AO46" s="30" t="str" cm="1">
        <f t="array" ref="AO46">_xlfn.IFS(COUNTIF(Table14623576[[#This Row],[Phrases H]],"*H372*"), 10, TRUE, "")</f>
        <v/>
      </c>
      <c r="AP46" s="30" t="str" cm="1">
        <f t="array" ref="AP46">_xlfn.IFS(COUNTIF(Table14623576[[#This Row],[Phrases H]],"*H410*"), 10, TRUE, "")</f>
        <v/>
      </c>
      <c r="AQ46" s="30" t="str" cm="1">
        <f t="array" ref="AQ46">_xlfn.IFS(COUNTIF(Table14623576[[#This Row],[Phrases H]],"*H373*"), 5, TRUE, "")</f>
        <v/>
      </c>
      <c r="AR46" s="30" t="str" cm="1">
        <f t="array" ref="AR46">_xlfn.IFS(COUNTIF(Table14623576[[#This Row],[Phrases H]],"*H411*"), 5, TRUE, "")</f>
        <v/>
      </c>
      <c r="AS46" s="112">
        <f t="shared" si="12"/>
        <v>20</v>
      </c>
      <c r="AT46" s="129">
        <f>LOG(25.1)</f>
        <v>1.3996737214810382</v>
      </c>
      <c r="AU46" s="113">
        <v>320</v>
      </c>
      <c r="AV46" s="114">
        <f t="shared" si="0"/>
        <v>30</v>
      </c>
      <c r="AW46" s="115" t="str">
        <f t="shared" si="37"/>
        <v>20</v>
      </c>
      <c r="AX46" s="116">
        <f t="shared" si="26"/>
        <v>40</v>
      </c>
      <c r="AY46" s="117">
        <f t="shared" si="27"/>
        <v>0.47058823529411764</v>
      </c>
      <c r="AZ46" s="118" t="str">
        <f t="shared" si="14"/>
        <v>3</v>
      </c>
      <c r="BA46" s="119" t="str">
        <f t="shared" si="28"/>
        <v>3</v>
      </c>
      <c r="BB46" s="32"/>
      <c r="BC46" s="113">
        <v>10000</v>
      </c>
      <c r="BD46" s="113" t="s">
        <v>97</v>
      </c>
      <c r="BE46" s="120">
        <f t="shared" si="22"/>
        <v>20</v>
      </c>
      <c r="BF46" s="121" t="str">
        <f t="shared" si="16"/>
        <v>Production élevée</v>
      </c>
      <c r="BG46" s="122" t="str">
        <f t="shared" si="17"/>
        <v>B</v>
      </c>
      <c r="BH46" s="32"/>
      <c r="BI46" s="7"/>
      <c r="BJ46" s="5">
        <v>0</v>
      </c>
      <c r="BK46" s="7"/>
      <c r="BL46" s="131">
        <v>0</v>
      </c>
      <c r="BM46" s="132" t="s">
        <v>99</v>
      </c>
      <c r="BN46"/>
      <c r="BO46" s="60" t="str">
        <f t="shared" si="25"/>
        <v>Catégorie 3B NON</v>
      </c>
      <c r="BP46"/>
      <c r="BQ46" s="42" t="s">
        <v>88</v>
      </c>
      <c r="BR46"/>
      <c r="BS46" s="187" t="str">
        <f t="shared" si="29"/>
        <v>X</v>
      </c>
      <c r="BT46" s="19" t="str">
        <f t="shared" si="30"/>
        <v/>
      </c>
      <c r="BU46" s="19" t="str">
        <f t="shared" si="31"/>
        <v/>
      </c>
      <c r="BV46" s="10"/>
      <c r="BW46" s="5" t="str">
        <f t="shared" si="32"/>
        <v/>
      </c>
      <c r="BX46" s="5" t="str">
        <f t="shared" si="33"/>
        <v/>
      </c>
      <c r="BY46"/>
      <c r="BZ46" s="5" t="str">
        <f t="shared" si="34"/>
        <v>X</v>
      </c>
      <c r="CA46" s="5" t="str">
        <f t="shared" si="35"/>
        <v/>
      </c>
      <c r="CB46" s="188" t="str">
        <f t="shared" si="36"/>
        <v/>
      </c>
    </row>
    <row r="47" spans="1:80" s="27" customFormat="1" ht="30" customHeight="1" x14ac:dyDescent="0.55000000000000004">
      <c r="A47" s="104">
        <v>43</v>
      </c>
      <c r="B47" s="104" t="s">
        <v>75</v>
      </c>
      <c r="C47" s="111" t="s">
        <v>612</v>
      </c>
      <c r="D47" s="104" t="s">
        <v>613</v>
      </c>
      <c r="E47" s="104" t="s">
        <v>614</v>
      </c>
      <c r="F47" s="104" t="s">
        <v>615</v>
      </c>
      <c r="G47" s="104" t="s">
        <v>616</v>
      </c>
      <c r="H47" s="104" t="s">
        <v>617</v>
      </c>
      <c r="I47" s="104" t="s">
        <v>478</v>
      </c>
      <c r="J47" s="104"/>
      <c r="K47" s="104" t="s">
        <v>618</v>
      </c>
      <c r="L47" s="104"/>
      <c r="M47" s="104"/>
      <c r="N47" s="104"/>
      <c r="O47" s="104"/>
      <c r="P47" s="104"/>
      <c r="Q47" s="102"/>
      <c r="R47" s="104"/>
      <c r="S47" s="104" t="s">
        <v>86</v>
      </c>
      <c r="T47" s="104"/>
      <c r="U47" s="104" t="s">
        <v>619</v>
      </c>
      <c r="V47" s="104" t="s">
        <v>173</v>
      </c>
      <c r="W47" s="104" t="s">
        <v>620</v>
      </c>
      <c r="X47" s="104" t="s">
        <v>621</v>
      </c>
      <c r="Y47" s="104" t="s">
        <v>622</v>
      </c>
      <c r="Z47" s="104" t="s">
        <v>623</v>
      </c>
      <c r="AA47" s="104">
        <v>20</v>
      </c>
      <c r="AB47" s="128">
        <f>LOG(4.3)</f>
        <v>0.63346845557958653</v>
      </c>
      <c r="AC47" s="104" t="s">
        <v>624</v>
      </c>
      <c r="AD47" s="104" t="s">
        <v>625</v>
      </c>
      <c r="AE47"/>
      <c r="AF47" s="30" t="str" cm="1">
        <f t="array" ref="AF47">_xlfn.IFS(COUNTIF(Table14623576[[#This Row],[PBT/ vPvB]],"*X*"), 20, TRUE, "")</f>
        <v/>
      </c>
      <c r="AG47" s="30" t="str" cm="1">
        <f t="array" ref="AG47">_xlfn.IFS(COUNTIF(Table14623576[[#This Row],[Perturbateur Endocrinien]],"*X*"), 20, TRUE, "")</f>
        <v/>
      </c>
      <c r="AH47" s="30" cm="1">
        <f t="array" ref="AH47">_xlfn.IFS(COUNTIF(Table14623576[[#This Row],[Phrases H]],"*H350*"), 20, TRUE, "")</f>
        <v>20</v>
      </c>
      <c r="AI47" s="30" t="str" cm="1">
        <f t="array" ref="AI47">_xlfn.IFS(COUNTIF(Table14623576[[#This Row],[Phrases H]],"*H360*"), 20, TRUE, "")</f>
        <v/>
      </c>
      <c r="AJ47" s="30" t="str" cm="1">
        <f t="array" ref="AJ47">_xlfn.IFS(COUNTIF(Table14623576[[#This Row],[Phrases H]],"*H340*"), 20, TRUE, "")</f>
        <v/>
      </c>
      <c r="AK47" s="30" t="str" cm="1">
        <f t="array" ref="AK47">_xlfn.IFS(COUNTIF(Table14623576[[#This Row],[Phrases H]],"*H351*"), 10, TRUE, "")</f>
        <v/>
      </c>
      <c r="AL47" s="30" t="str" cm="1">
        <f t="array" ref="AL47">_xlfn.IFS(COUNTIF(Table14623576[[#This Row],[Phrases H]],"*H361*"), 10, TRUE, "")</f>
        <v/>
      </c>
      <c r="AM47" s="30" t="str" cm="1">
        <f t="array" ref="AM47">_xlfn.IFS(COUNTIF(Table14623576[[#This Row],[Phrases H]],"*H362*"), 10, TRUE, "")</f>
        <v/>
      </c>
      <c r="AN47" s="30" t="str" cm="1">
        <f t="array" ref="AN47">_xlfn.IFS(COUNTIF(Table14623576[[#This Row],[Phrases H]],"*H341*"), 10, TRUE, "")</f>
        <v/>
      </c>
      <c r="AO47" s="30" t="str" cm="1">
        <f t="array" ref="AO47">_xlfn.IFS(COUNTIF(Table14623576[[#This Row],[Phrases H]],"*H372*"), 10, TRUE, "")</f>
        <v/>
      </c>
      <c r="AP47" s="30" t="str" cm="1">
        <f t="array" ref="AP47">_xlfn.IFS(COUNTIF(Table14623576[[#This Row],[Phrases H]],"*H410*"), 10, TRUE, "")</f>
        <v/>
      </c>
      <c r="AQ47" s="30" t="str" cm="1">
        <f t="array" ref="AQ47">_xlfn.IFS(COUNTIF(Table14623576[[#This Row],[Phrases H]],"*H373*"), 5, TRUE, "")</f>
        <v/>
      </c>
      <c r="AR47" s="30" t="str" cm="1">
        <f t="array" ref="AR47">_xlfn.IFS(COUNTIF(Table14623576[[#This Row],[Phrases H]],"*H411*"), 5, TRUE, "")</f>
        <v/>
      </c>
      <c r="AS47" s="112">
        <f t="shared" si="12"/>
        <v>20</v>
      </c>
      <c r="AT47" s="129">
        <f>LOG(4.3)</f>
        <v>0.63346845557958653</v>
      </c>
      <c r="AU47" s="113">
        <v>117000</v>
      </c>
      <c r="AV47" s="114">
        <f t="shared" si="0"/>
        <v>50</v>
      </c>
      <c r="AW47" s="115" t="str">
        <f t="shared" si="37"/>
        <v>20</v>
      </c>
      <c r="AX47" s="116">
        <f t="shared" si="26"/>
        <v>40</v>
      </c>
      <c r="AY47" s="117">
        <f t="shared" si="27"/>
        <v>0.47058823529411764</v>
      </c>
      <c r="AZ47" s="118" t="str">
        <f t="shared" si="14"/>
        <v>3</v>
      </c>
      <c r="BA47" s="119" t="str">
        <f t="shared" si="28"/>
        <v>3</v>
      </c>
      <c r="BB47" s="32"/>
      <c r="BC47" s="113">
        <v>10</v>
      </c>
      <c r="BD47" s="113" t="s">
        <v>97</v>
      </c>
      <c r="BE47" s="120">
        <f t="shared" si="22"/>
        <v>5</v>
      </c>
      <c r="BF47" s="121" t="str">
        <f t="shared" si="16"/>
        <v>Très faible production</v>
      </c>
      <c r="BG47" s="122" t="str">
        <f t="shared" si="17"/>
        <v>E</v>
      </c>
      <c r="BH47" s="32"/>
      <c r="BI47" s="7"/>
      <c r="BJ47" s="5">
        <v>0</v>
      </c>
      <c r="BK47" s="7"/>
      <c r="BL47" s="131">
        <v>0</v>
      </c>
      <c r="BM47" s="132" t="s">
        <v>99</v>
      </c>
      <c r="BN47"/>
      <c r="BO47" s="60" t="str">
        <f t="shared" si="25"/>
        <v>Catégorie 3E NON</v>
      </c>
      <c r="BP47"/>
      <c r="BQ47" s="42" t="s">
        <v>88</v>
      </c>
      <c r="BR47"/>
      <c r="BS47" s="187" t="str">
        <f t="shared" si="29"/>
        <v>X</v>
      </c>
      <c r="BT47" s="19" t="str">
        <f t="shared" si="30"/>
        <v/>
      </c>
      <c r="BU47" s="19" t="str">
        <f t="shared" si="31"/>
        <v/>
      </c>
      <c r="BV47" s="10"/>
      <c r="BW47" s="5" t="str">
        <f t="shared" si="32"/>
        <v>X</v>
      </c>
      <c r="BX47" s="5" t="str">
        <f t="shared" si="33"/>
        <v/>
      </c>
      <c r="BY47"/>
      <c r="BZ47" s="5" t="str">
        <f t="shared" si="34"/>
        <v/>
      </c>
      <c r="CA47" s="5" t="str">
        <f t="shared" si="35"/>
        <v/>
      </c>
      <c r="CB47" s="188" t="str">
        <f t="shared" si="36"/>
        <v/>
      </c>
    </row>
    <row r="48" spans="1:80" s="27" customFormat="1" ht="30" customHeight="1" x14ac:dyDescent="0.55000000000000004">
      <c r="A48" s="104">
        <v>44</v>
      </c>
      <c r="B48" s="104" t="s">
        <v>75</v>
      </c>
      <c r="C48" s="111" t="s">
        <v>626</v>
      </c>
      <c r="D48" s="104" t="s">
        <v>627</v>
      </c>
      <c r="E48" s="104" t="s">
        <v>628</v>
      </c>
      <c r="F48" s="104" t="s">
        <v>629</v>
      </c>
      <c r="G48" s="104" t="s">
        <v>630</v>
      </c>
      <c r="H48" s="104" t="s">
        <v>631</v>
      </c>
      <c r="I48" s="104" t="s">
        <v>632</v>
      </c>
      <c r="J48" s="104"/>
      <c r="K48" s="104" t="s">
        <v>84</v>
      </c>
      <c r="L48" s="104"/>
      <c r="M48" s="104"/>
      <c r="N48" s="104"/>
      <c r="O48" s="104"/>
      <c r="P48" s="104"/>
      <c r="Q48" s="102"/>
      <c r="R48" s="104"/>
      <c r="S48" s="104" t="s">
        <v>187</v>
      </c>
      <c r="T48" s="104"/>
      <c r="U48" s="104" t="s">
        <v>633</v>
      </c>
      <c r="V48" s="104" t="s">
        <v>88</v>
      </c>
      <c r="W48" s="104" t="s">
        <v>634</v>
      </c>
      <c r="X48" s="104" t="s">
        <v>635</v>
      </c>
      <c r="Y48" s="104" t="s">
        <v>88</v>
      </c>
      <c r="Z48" s="140">
        <v>3.7109999999999999</v>
      </c>
      <c r="AA48" s="104">
        <v>22</v>
      </c>
      <c r="AB48" s="128">
        <f>LOG(1050)</f>
        <v>3.0211892990699383</v>
      </c>
      <c r="AC48" s="104" t="s">
        <v>636</v>
      </c>
      <c r="AD48" s="104" t="s">
        <v>637</v>
      </c>
      <c r="AE48"/>
      <c r="AF48" s="30" t="str" cm="1">
        <f t="array" ref="AF48">_xlfn.IFS(COUNTIF(Table14623576[[#This Row],[PBT/ vPvB]],"*X*"), 20, TRUE, "")</f>
        <v/>
      </c>
      <c r="AG48" s="30" t="str" cm="1">
        <f t="array" ref="AG48">_xlfn.IFS(COUNTIF(Table14623576[[#This Row],[Perturbateur Endocrinien]],"*X*"), 20, TRUE, "")</f>
        <v/>
      </c>
      <c r="AH48" s="30" t="str" cm="1">
        <f t="array" ref="AH48">_xlfn.IFS(COUNTIF(Table14623576[[#This Row],[Phrases H]],"*H350*"), 20, TRUE, "")</f>
        <v/>
      </c>
      <c r="AI48" s="30" cm="1">
        <f t="array" ref="AI48">_xlfn.IFS(COUNTIF(Table14623576[[#This Row],[Phrases H]],"*H360*"), 20, TRUE, "")</f>
        <v>20</v>
      </c>
      <c r="AJ48" s="30" t="str" cm="1">
        <f t="array" ref="AJ48">_xlfn.IFS(COUNTIF(Table14623576[[#This Row],[Phrases H]],"*H340*"), 20, TRUE, "")</f>
        <v/>
      </c>
      <c r="AK48" s="30" t="str" cm="1">
        <f t="array" ref="AK48">_xlfn.IFS(COUNTIF(Table14623576[[#This Row],[Phrases H]],"*H351*"), 10, TRUE, "")</f>
        <v/>
      </c>
      <c r="AL48" s="30" t="str" cm="1">
        <f t="array" ref="AL48">_xlfn.IFS(COUNTIF(Table14623576[[#This Row],[Phrases H]],"*H361*"), 10, TRUE, "")</f>
        <v/>
      </c>
      <c r="AM48" s="30" t="str" cm="1">
        <f t="array" ref="AM48">_xlfn.IFS(COUNTIF(Table14623576[[#This Row],[Phrases H]],"*H362*"), 10, TRUE, "")</f>
        <v/>
      </c>
      <c r="AN48" s="30" t="str" cm="1">
        <f t="array" ref="AN48">_xlfn.IFS(COUNTIF(Table14623576[[#This Row],[Phrases H]],"*H341*"), 10, TRUE, "")</f>
        <v/>
      </c>
      <c r="AO48" s="30" t="str" cm="1">
        <f t="array" ref="AO48">_xlfn.IFS(COUNTIF(Table14623576[[#This Row],[Phrases H]],"*H372*"), 10, TRUE, "")</f>
        <v/>
      </c>
      <c r="AP48" s="30" cm="1">
        <f t="array" ref="AP48">_xlfn.IFS(COUNTIF(Table14623576[[#This Row],[Phrases H]],"*H410*"), 10, TRUE, "")</f>
        <v>10</v>
      </c>
      <c r="AQ48" s="30" cm="1">
        <f t="array" ref="AQ48">_xlfn.IFS(COUNTIF(Table14623576[[#This Row],[Phrases H]],"*H373*"), 5, TRUE, "")</f>
        <v>5</v>
      </c>
      <c r="AR48" s="30" t="str" cm="1">
        <f t="array" ref="AR48">_xlfn.IFS(COUNTIF(Table14623576[[#This Row],[Phrases H]],"*H411*"), 5, TRUE, "")</f>
        <v/>
      </c>
      <c r="AS48" s="112">
        <f t="shared" si="12"/>
        <v>35</v>
      </c>
      <c r="AT48" s="129">
        <f>LOG(1050)</f>
        <v>3.0211892990699383</v>
      </c>
      <c r="AU48" s="113">
        <v>7</v>
      </c>
      <c r="AV48" s="114">
        <f t="shared" si="0"/>
        <v>20</v>
      </c>
      <c r="AW48" s="115" t="str">
        <f t="shared" si="37"/>
        <v>0</v>
      </c>
      <c r="AX48" s="116">
        <f t="shared" si="26"/>
        <v>35</v>
      </c>
      <c r="AY48" s="117">
        <f t="shared" si="27"/>
        <v>0.41176470588235292</v>
      </c>
      <c r="AZ48" s="118" t="str">
        <f t="shared" si="14"/>
        <v>3</v>
      </c>
      <c r="BA48" s="119" t="str">
        <f t="shared" si="28"/>
        <v>3</v>
      </c>
      <c r="BB48" s="32"/>
      <c r="BC48" s="113">
        <v>1000</v>
      </c>
      <c r="BD48" s="113" t="s">
        <v>97</v>
      </c>
      <c r="BE48" s="120">
        <f t="shared" si="22"/>
        <v>15</v>
      </c>
      <c r="BF48" s="121" t="str">
        <f t="shared" si="16"/>
        <v>Production modérée</v>
      </c>
      <c r="BG48" s="122" t="str">
        <f t="shared" si="17"/>
        <v>C</v>
      </c>
      <c r="BH48" s="32"/>
      <c r="BI48" s="7"/>
      <c r="BJ48" s="5">
        <v>0</v>
      </c>
      <c r="BK48" s="7"/>
      <c r="BL48" s="131">
        <v>0</v>
      </c>
      <c r="BM48" s="132" t="s">
        <v>99</v>
      </c>
      <c r="BN48"/>
      <c r="BO48" s="60" t="str">
        <f t="shared" si="25"/>
        <v>Catégorie 3C NON</v>
      </c>
      <c r="BP48"/>
      <c r="BQ48" s="42" t="s">
        <v>88</v>
      </c>
      <c r="BR48"/>
      <c r="BS48" s="187" t="str">
        <f t="shared" si="29"/>
        <v>X</v>
      </c>
      <c r="BT48" s="19" t="str">
        <f t="shared" si="30"/>
        <v/>
      </c>
      <c r="BU48" s="19" t="str">
        <f t="shared" si="31"/>
        <v/>
      </c>
      <c r="BV48" s="10"/>
      <c r="BW48" s="5" t="str">
        <f t="shared" si="32"/>
        <v/>
      </c>
      <c r="BX48" s="5" t="str">
        <f t="shared" si="33"/>
        <v/>
      </c>
      <c r="BY48"/>
      <c r="BZ48" s="5" t="str">
        <f t="shared" si="34"/>
        <v>X</v>
      </c>
      <c r="CA48" s="5" t="str">
        <f t="shared" si="35"/>
        <v/>
      </c>
      <c r="CB48" s="188" t="str">
        <f t="shared" si="36"/>
        <v/>
      </c>
    </row>
    <row r="49" spans="1:80" s="27" customFormat="1" ht="30" customHeight="1" x14ac:dyDescent="0.55000000000000004">
      <c r="A49" s="104">
        <v>45</v>
      </c>
      <c r="B49" s="104" t="s">
        <v>75</v>
      </c>
      <c r="C49" s="111" t="s">
        <v>638</v>
      </c>
      <c r="D49" s="104" t="s">
        <v>639</v>
      </c>
      <c r="E49" s="104" t="s">
        <v>640</v>
      </c>
      <c r="F49" s="104" t="s">
        <v>641</v>
      </c>
      <c r="G49" s="104" t="s">
        <v>642</v>
      </c>
      <c r="H49" s="104" t="s">
        <v>643</v>
      </c>
      <c r="I49" s="104" t="s">
        <v>605</v>
      </c>
      <c r="J49" s="104"/>
      <c r="K49" s="104" t="s">
        <v>644</v>
      </c>
      <c r="L49" s="104"/>
      <c r="M49" s="104"/>
      <c r="N49" s="104"/>
      <c r="O49" s="104"/>
      <c r="P49" s="104" t="s">
        <v>85</v>
      </c>
      <c r="Q49" s="102"/>
      <c r="R49" s="104"/>
      <c r="S49" s="104" t="s">
        <v>345</v>
      </c>
      <c r="T49" s="104"/>
      <c r="U49" s="104" t="s">
        <v>108</v>
      </c>
      <c r="V49" s="104" t="s">
        <v>122</v>
      </c>
      <c r="W49" s="138" t="s">
        <v>645</v>
      </c>
      <c r="X49" s="138" t="s">
        <v>646</v>
      </c>
      <c r="Y49" s="104" t="s">
        <v>647</v>
      </c>
      <c r="Z49" s="104" t="s">
        <v>648</v>
      </c>
      <c r="AA49" s="104">
        <v>25</v>
      </c>
      <c r="AB49" s="104" t="s">
        <v>649</v>
      </c>
      <c r="AC49" s="104" t="s">
        <v>650</v>
      </c>
      <c r="AD49" s="104" t="s">
        <v>651</v>
      </c>
      <c r="AE49"/>
      <c r="AF49" s="30" t="str" cm="1">
        <f t="array" ref="AF49">_xlfn.IFS(COUNTIF(Table14623576[[#This Row],[PBT/ vPvB]],"*X*"), 20, TRUE, "")</f>
        <v/>
      </c>
      <c r="AG49" s="30" t="str" cm="1">
        <f t="array" ref="AG49">_xlfn.IFS(COUNTIF(Table14623576[[#This Row],[Perturbateur Endocrinien]],"*X*"), 20, TRUE, "")</f>
        <v/>
      </c>
      <c r="AH49" s="30" t="str" cm="1">
        <f t="array" ref="AH49">_xlfn.IFS(COUNTIF(Table14623576[[#This Row],[Phrases H]],"*H350*"), 20, TRUE, "")</f>
        <v/>
      </c>
      <c r="AI49" s="30" t="str" cm="1">
        <f t="array" ref="AI49">_xlfn.IFS(COUNTIF(Table14623576[[#This Row],[Phrases H]],"*H360*"), 20, TRUE, "")</f>
        <v/>
      </c>
      <c r="AJ49" s="30" t="str" cm="1">
        <f t="array" ref="AJ49">_xlfn.IFS(COUNTIF(Table14623576[[#This Row],[Phrases H]],"*H340*"), 20, TRUE, "")</f>
        <v/>
      </c>
      <c r="AK49" s="30" t="str" cm="1">
        <f t="array" ref="AK49">_xlfn.IFS(COUNTIF(Table14623576[[#This Row],[Phrases H]],"*H351*"), 10, TRUE, "")</f>
        <v/>
      </c>
      <c r="AL49" s="30" t="str" cm="1">
        <f t="array" ref="AL49">_xlfn.IFS(COUNTIF(Table14623576[[#This Row],[Phrases H]],"*H361*"), 10, TRUE, "")</f>
        <v/>
      </c>
      <c r="AM49" s="30" t="str" cm="1">
        <f t="array" ref="AM49">_xlfn.IFS(COUNTIF(Table14623576[[#This Row],[Phrases H]],"*H362*"), 10, TRUE, "")</f>
        <v/>
      </c>
      <c r="AN49" s="30" t="str" cm="1">
        <f t="array" ref="AN49">_xlfn.IFS(COUNTIF(Table14623576[[#This Row],[Phrases H]],"*H341*"), 10, TRUE, "")</f>
        <v/>
      </c>
      <c r="AO49" s="30" t="str" cm="1">
        <f t="array" ref="AO49">_xlfn.IFS(COUNTIF(Table14623576[[#This Row],[Phrases H]],"*H372*"), 10, TRUE, "")</f>
        <v/>
      </c>
      <c r="AP49" s="30" t="str" cm="1">
        <f t="array" ref="AP49">_xlfn.IFS(COUNTIF(Table14623576[[#This Row],[Phrases H]],"*H410*"), 10, TRUE, "")</f>
        <v/>
      </c>
      <c r="AQ49" s="30" t="str" cm="1">
        <f t="array" ref="AQ49">_xlfn.IFS(COUNTIF(Table14623576[[#This Row],[Phrases H]],"*H373*"), 5, TRUE, "")</f>
        <v/>
      </c>
      <c r="AR49" s="30" t="str" cm="1">
        <f t="array" ref="AR49">_xlfn.IFS(COUNTIF(Table14623576[[#This Row],[Phrases H]],"*H411*"), 5, TRUE, "")</f>
        <v/>
      </c>
      <c r="AS49" s="112">
        <f t="shared" si="12"/>
        <v>0</v>
      </c>
      <c r="AT49" s="113">
        <v>3.65</v>
      </c>
      <c r="AU49" s="139">
        <v>1000000</v>
      </c>
      <c r="AV49" s="114">
        <f t="shared" si="0"/>
        <v>50</v>
      </c>
      <c r="AW49" s="115" t="str">
        <f t="shared" si="37"/>
        <v>0</v>
      </c>
      <c r="AX49" s="116">
        <f t="shared" si="26"/>
        <v>0</v>
      </c>
      <c r="AY49" s="117">
        <f t="shared" si="27"/>
        <v>0</v>
      </c>
      <c r="AZ49" s="118" t="str">
        <f t="shared" si="14"/>
        <v>5</v>
      </c>
      <c r="BA49" s="119" t="str">
        <f t="shared" si="28"/>
        <v>5</v>
      </c>
      <c r="BB49" s="32"/>
      <c r="BC49" s="113">
        <v>1000000</v>
      </c>
      <c r="BD49" s="113" t="s">
        <v>97</v>
      </c>
      <c r="BE49" s="120">
        <f t="shared" si="22"/>
        <v>25</v>
      </c>
      <c r="BF49" s="121" t="str">
        <f t="shared" si="16"/>
        <v>Production très élevée</v>
      </c>
      <c r="BG49" s="122" t="str">
        <f t="shared" si="17"/>
        <v>A</v>
      </c>
      <c r="BH49" s="32"/>
      <c r="BI49" s="7"/>
      <c r="BJ49" s="5">
        <v>0</v>
      </c>
      <c r="BK49" s="7"/>
      <c r="BL49" s="131">
        <v>0</v>
      </c>
      <c r="BM49" s="132" t="s">
        <v>99</v>
      </c>
      <c r="BN49"/>
      <c r="BO49" s="60" t="str">
        <f t="shared" si="25"/>
        <v>Catégorie 5A NON</v>
      </c>
      <c r="BP49"/>
      <c r="BQ49" s="42" t="s">
        <v>88</v>
      </c>
      <c r="BR49"/>
      <c r="BS49" s="187" t="str">
        <f t="shared" si="29"/>
        <v/>
      </c>
      <c r="BT49" s="19" t="str">
        <f t="shared" si="30"/>
        <v/>
      </c>
      <c r="BU49" s="19" t="str">
        <f t="shared" si="31"/>
        <v/>
      </c>
      <c r="BV49" s="10"/>
      <c r="BW49" s="5" t="str">
        <f t="shared" si="32"/>
        <v/>
      </c>
      <c r="BX49" s="5" t="str">
        <f t="shared" si="33"/>
        <v/>
      </c>
      <c r="BY49"/>
      <c r="BZ49" s="5" t="str">
        <f t="shared" si="34"/>
        <v/>
      </c>
      <c r="CA49" s="5" t="str">
        <f t="shared" si="35"/>
        <v/>
      </c>
      <c r="CB49" s="188" t="str">
        <f t="shared" si="36"/>
        <v/>
      </c>
    </row>
    <row r="50" spans="1:80" s="27" customFormat="1" ht="30" customHeight="1" x14ac:dyDescent="0.55000000000000004">
      <c r="A50" s="104">
        <v>46</v>
      </c>
      <c r="B50" s="104" t="s">
        <v>75</v>
      </c>
      <c r="C50" s="111" t="s">
        <v>652</v>
      </c>
      <c r="D50" s="104" t="s">
        <v>653</v>
      </c>
      <c r="E50" s="104" t="s">
        <v>654</v>
      </c>
      <c r="F50" s="104" t="s">
        <v>655</v>
      </c>
      <c r="G50" s="104" t="s">
        <v>656</v>
      </c>
      <c r="H50" s="104" t="s">
        <v>656</v>
      </c>
      <c r="I50" s="104" t="s">
        <v>478</v>
      </c>
      <c r="J50" s="104"/>
      <c r="K50" s="104" t="s">
        <v>657</v>
      </c>
      <c r="L50" s="104"/>
      <c r="M50" s="104"/>
      <c r="N50" s="104"/>
      <c r="O50" s="104"/>
      <c r="P50" s="104" t="s">
        <v>85</v>
      </c>
      <c r="Q50" s="102"/>
      <c r="R50" s="104"/>
      <c r="S50" s="104" t="s">
        <v>345</v>
      </c>
      <c r="T50" s="104"/>
      <c r="U50" s="104" t="s">
        <v>658</v>
      </c>
      <c r="V50" s="104" t="s">
        <v>173</v>
      </c>
      <c r="W50" s="104" t="s">
        <v>659</v>
      </c>
      <c r="X50" s="138" t="s">
        <v>660</v>
      </c>
      <c r="Y50" s="104" t="s">
        <v>661</v>
      </c>
      <c r="Z50" s="104" t="s">
        <v>662</v>
      </c>
      <c r="AA50" s="104" t="s">
        <v>93</v>
      </c>
      <c r="AB50" s="104" t="s">
        <v>663</v>
      </c>
      <c r="AC50" s="104" t="s">
        <v>664</v>
      </c>
      <c r="AD50" s="104" t="s">
        <v>665</v>
      </c>
      <c r="AE50"/>
      <c r="AF50" s="30" t="str" cm="1">
        <f t="array" ref="AF50">_xlfn.IFS(COUNTIF(Table14623576[[#This Row],[PBT/ vPvB]],"*X*"), 20, TRUE, "")</f>
        <v/>
      </c>
      <c r="AG50" s="30" t="str" cm="1">
        <f t="array" ref="AG50">_xlfn.IFS(COUNTIF(Table14623576[[#This Row],[Perturbateur Endocrinien]],"*X*"), 20, TRUE, "")</f>
        <v/>
      </c>
      <c r="AH50" s="30" cm="1">
        <f t="array" ref="AH50">_xlfn.IFS(COUNTIF(Table14623576[[#This Row],[Phrases H]],"*H350*"), 20, TRUE, "")</f>
        <v>20</v>
      </c>
      <c r="AI50" s="30" t="str" cm="1">
        <f t="array" ref="AI50">_xlfn.IFS(COUNTIF(Table14623576[[#This Row],[Phrases H]],"*H360*"), 20, TRUE, "")</f>
        <v/>
      </c>
      <c r="AJ50" s="30" t="str" cm="1">
        <f t="array" ref="AJ50">_xlfn.IFS(COUNTIF(Table14623576[[#This Row],[Phrases H]],"*H340*"), 20, TRUE, "")</f>
        <v/>
      </c>
      <c r="AK50" s="30" t="str" cm="1">
        <f t="array" ref="AK50">_xlfn.IFS(COUNTIF(Table14623576[[#This Row],[Phrases H]],"*H351*"), 10, TRUE, "")</f>
        <v/>
      </c>
      <c r="AL50" s="30" t="str" cm="1">
        <f t="array" ref="AL50">_xlfn.IFS(COUNTIF(Table14623576[[#This Row],[Phrases H]],"*H361*"), 10, TRUE, "")</f>
        <v/>
      </c>
      <c r="AM50" s="30" t="str" cm="1">
        <f t="array" ref="AM50">_xlfn.IFS(COUNTIF(Table14623576[[#This Row],[Phrases H]],"*H362*"), 10, TRUE, "")</f>
        <v/>
      </c>
      <c r="AN50" s="30" t="str" cm="1">
        <f t="array" ref="AN50">_xlfn.IFS(COUNTIF(Table14623576[[#This Row],[Phrases H]],"*H341*"), 10, TRUE, "")</f>
        <v/>
      </c>
      <c r="AO50" s="30" t="str" cm="1">
        <f t="array" ref="AO50">_xlfn.IFS(COUNTIF(Table14623576[[#This Row],[Phrases H]],"*H372*"), 10, TRUE, "")</f>
        <v/>
      </c>
      <c r="AP50" s="30" t="str" cm="1">
        <f t="array" ref="AP50">_xlfn.IFS(COUNTIF(Table14623576[[#This Row],[Phrases H]],"*H410*"), 10, TRUE, "")</f>
        <v/>
      </c>
      <c r="AQ50" s="30" t="str" cm="1">
        <f t="array" ref="AQ50">_xlfn.IFS(COUNTIF(Table14623576[[#This Row],[Phrases H]],"*H373*"), 5, TRUE, "")</f>
        <v/>
      </c>
      <c r="AR50" s="30" t="str" cm="1">
        <f t="array" ref="AR50">_xlfn.IFS(COUNTIF(Table14623576[[#This Row],[Phrases H]],"*H411*"), 5, TRUE, "")</f>
        <v/>
      </c>
      <c r="AS50" s="112">
        <f t="shared" si="12"/>
        <v>20</v>
      </c>
      <c r="AT50" s="113" t="s">
        <v>663</v>
      </c>
      <c r="AU50" s="113">
        <v>65900</v>
      </c>
      <c r="AV50" s="114">
        <f t="shared" si="0"/>
        <v>40</v>
      </c>
      <c r="AW50" s="115" t="str">
        <f t="shared" si="37"/>
        <v>0</v>
      </c>
      <c r="AX50" s="116">
        <f t="shared" si="26"/>
        <v>20</v>
      </c>
      <c r="AY50" s="117">
        <f t="shared" si="27"/>
        <v>0.23529411764705882</v>
      </c>
      <c r="AZ50" s="118" t="str">
        <f t="shared" si="14"/>
        <v>4</v>
      </c>
      <c r="BA50" s="119" t="str">
        <f t="shared" si="28"/>
        <v>4</v>
      </c>
      <c r="BB50" s="32"/>
      <c r="BC50" s="113">
        <v>100000</v>
      </c>
      <c r="BD50" s="113" t="s">
        <v>97</v>
      </c>
      <c r="BE50" s="120">
        <f t="shared" si="22"/>
        <v>25</v>
      </c>
      <c r="BF50" s="121" t="str">
        <f t="shared" si="16"/>
        <v>Production très élevée</v>
      </c>
      <c r="BG50" s="122" t="str">
        <f t="shared" si="17"/>
        <v>A</v>
      </c>
      <c r="BH50" s="32"/>
      <c r="BI50" s="7"/>
      <c r="BJ50" s="5">
        <v>0</v>
      </c>
      <c r="BK50" s="7"/>
      <c r="BL50" s="131">
        <v>0</v>
      </c>
      <c r="BM50" s="132" t="s">
        <v>99</v>
      </c>
      <c r="BN50"/>
      <c r="BO50" s="60" t="str">
        <f t="shared" si="25"/>
        <v>Catégorie 4A NON</v>
      </c>
      <c r="BP50"/>
      <c r="BQ50" s="42" t="s">
        <v>88</v>
      </c>
      <c r="BR50"/>
      <c r="BS50" s="187" t="str">
        <f t="shared" si="29"/>
        <v/>
      </c>
      <c r="BT50" s="19" t="str">
        <f t="shared" si="30"/>
        <v/>
      </c>
      <c r="BU50" s="19" t="str">
        <f t="shared" si="31"/>
        <v/>
      </c>
      <c r="BV50" s="10"/>
      <c r="BW50" s="5" t="str">
        <f t="shared" si="32"/>
        <v/>
      </c>
      <c r="BX50" s="5" t="str">
        <f t="shared" si="33"/>
        <v/>
      </c>
      <c r="BY50"/>
      <c r="BZ50" s="5" t="str">
        <f t="shared" si="34"/>
        <v/>
      </c>
      <c r="CA50" s="5" t="str">
        <f t="shared" si="35"/>
        <v/>
      </c>
      <c r="CB50" s="188" t="str">
        <f t="shared" si="36"/>
        <v/>
      </c>
    </row>
    <row r="51" spans="1:80" s="27" customFormat="1" ht="30" customHeight="1" x14ac:dyDescent="0.55000000000000004">
      <c r="A51" s="104">
        <v>47</v>
      </c>
      <c r="B51" s="104" t="s">
        <v>75</v>
      </c>
      <c r="C51" s="111" t="s">
        <v>666</v>
      </c>
      <c r="D51" s="104" t="s">
        <v>77</v>
      </c>
      <c r="E51" s="104" t="s">
        <v>667</v>
      </c>
      <c r="F51" s="104" t="s">
        <v>668</v>
      </c>
      <c r="G51" s="104" t="s">
        <v>669</v>
      </c>
      <c r="H51" s="104" t="s">
        <v>670</v>
      </c>
      <c r="I51" s="104" t="s">
        <v>82</v>
      </c>
      <c r="J51" s="104"/>
      <c r="K51" s="104" t="s">
        <v>292</v>
      </c>
      <c r="L51" s="104"/>
      <c r="M51" s="104"/>
      <c r="N51" s="104"/>
      <c r="O51" s="104"/>
      <c r="P51" s="104"/>
      <c r="Q51" s="102"/>
      <c r="R51" s="104" t="s">
        <v>85</v>
      </c>
      <c r="S51" s="104" t="s">
        <v>88</v>
      </c>
      <c r="T51" s="104"/>
      <c r="U51" s="104" t="s">
        <v>671</v>
      </c>
      <c r="V51" s="104" t="s">
        <v>173</v>
      </c>
      <c r="W51" s="104" t="s">
        <v>672</v>
      </c>
      <c r="X51" s="104" t="s">
        <v>673</v>
      </c>
      <c r="Y51" s="104" t="s">
        <v>674</v>
      </c>
      <c r="Z51" s="104" t="s">
        <v>675</v>
      </c>
      <c r="AA51" s="104" t="s">
        <v>93</v>
      </c>
      <c r="AB51" s="128">
        <f>LOG(51.3)</f>
        <v>1.7101173651118162</v>
      </c>
      <c r="AC51" s="104" t="s">
        <v>676</v>
      </c>
      <c r="AD51" s="104" t="s">
        <v>677</v>
      </c>
      <c r="AE51"/>
      <c r="AF51" s="30" cm="1">
        <f t="array" ref="AF51">_xlfn.IFS(COUNTIF(Table14623576[[#This Row],[PBT/ vPvB]],"*X*"), 20, TRUE, "")</f>
        <v>20</v>
      </c>
      <c r="AG51" s="30" t="str" cm="1">
        <f t="array" ref="AG51">_xlfn.IFS(COUNTIF(Table14623576[[#This Row],[Perturbateur Endocrinien]],"*X*"), 20, TRUE, "")</f>
        <v/>
      </c>
      <c r="AH51" s="30" cm="1">
        <f t="array" ref="AH51">_xlfn.IFS(COUNTIF(Table14623576[[#This Row],[Phrases H]],"*H350*"), 20, TRUE, "")</f>
        <v>20</v>
      </c>
      <c r="AI51" s="30" t="str" cm="1">
        <f t="array" ref="AI51">_xlfn.IFS(COUNTIF(Table14623576[[#This Row],[Phrases H]],"*H360*"), 20, TRUE, "")</f>
        <v/>
      </c>
      <c r="AJ51" s="30" t="str" cm="1">
        <f t="array" ref="AJ51">_xlfn.IFS(COUNTIF(Table14623576[[#This Row],[Phrases H]],"*H340*"), 20, TRUE, "")</f>
        <v/>
      </c>
      <c r="AK51" s="30" t="str" cm="1">
        <f t="array" ref="AK51">_xlfn.IFS(COUNTIF(Table14623576[[#This Row],[Phrases H]],"*H351*"), 10, TRUE, "")</f>
        <v/>
      </c>
      <c r="AL51" s="30" t="str" cm="1">
        <f t="array" ref="AL51">_xlfn.IFS(COUNTIF(Table14623576[[#This Row],[Phrases H]],"*H361*"), 10, TRUE, "")</f>
        <v/>
      </c>
      <c r="AM51" s="30" t="str" cm="1">
        <f t="array" ref="AM51">_xlfn.IFS(COUNTIF(Table14623576[[#This Row],[Phrases H]],"*H362*"), 10, TRUE, "")</f>
        <v/>
      </c>
      <c r="AN51" s="30" t="str" cm="1">
        <f t="array" ref="AN51">_xlfn.IFS(COUNTIF(Table14623576[[#This Row],[Phrases H]],"*H341*"), 10, TRUE, "")</f>
        <v/>
      </c>
      <c r="AO51" s="30" t="str" cm="1">
        <f t="array" ref="AO51">_xlfn.IFS(COUNTIF(Table14623576[[#This Row],[Phrases H]],"*H372*"), 10, TRUE, "")</f>
        <v/>
      </c>
      <c r="AP51" s="30" t="str" cm="1">
        <f t="array" ref="AP51">_xlfn.IFS(COUNTIF(Table14623576[[#This Row],[Phrases H]],"*H410*"), 10, TRUE, "")</f>
        <v/>
      </c>
      <c r="AQ51" s="30" t="str" cm="1">
        <f t="array" ref="AQ51">_xlfn.IFS(COUNTIF(Table14623576[[#This Row],[Phrases H]],"*H373*"), 5, TRUE, "")</f>
        <v/>
      </c>
      <c r="AR51" s="30" cm="1">
        <f t="array" ref="AR51">_xlfn.IFS(COUNTIF(Table14623576[[#This Row],[Phrases H]],"*H411*"), 5, TRUE, "")</f>
        <v>5</v>
      </c>
      <c r="AS51" s="112">
        <f t="shared" si="12"/>
        <v>45</v>
      </c>
      <c r="AT51" s="129">
        <f>LOG(51.3)</f>
        <v>1.7101173651118162</v>
      </c>
      <c r="AU51" s="113">
        <v>3931.3</v>
      </c>
      <c r="AV51" s="114">
        <f t="shared" si="0"/>
        <v>40</v>
      </c>
      <c r="AW51" s="115" t="str">
        <f t="shared" si="37"/>
        <v>20</v>
      </c>
      <c r="AX51" s="116">
        <f t="shared" si="26"/>
        <v>65</v>
      </c>
      <c r="AY51" s="117">
        <f t="shared" si="27"/>
        <v>0.76470588235294112</v>
      </c>
      <c r="AZ51" s="118" t="str">
        <f t="shared" si="14"/>
        <v>2</v>
      </c>
      <c r="BA51" s="119" t="str">
        <f t="shared" si="28"/>
        <v>2</v>
      </c>
      <c r="BB51" s="32"/>
      <c r="BC51" s="113">
        <v>10000</v>
      </c>
      <c r="BD51" s="113" t="s">
        <v>97</v>
      </c>
      <c r="BE51" s="120">
        <f t="shared" si="22"/>
        <v>20</v>
      </c>
      <c r="BF51" s="121" t="str">
        <f t="shared" si="16"/>
        <v>Production élevée</v>
      </c>
      <c r="BG51" s="122" t="str">
        <f t="shared" si="17"/>
        <v>B</v>
      </c>
      <c r="BH51" s="32"/>
      <c r="BI51" s="7" t="s">
        <v>678</v>
      </c>
      <c r="BJ51" s="133">
        <v>2</v>
      </c>
      <c r="BK51" s="7"/>
      <c r="BL51" s="131">
        <v>0</v>
      </c>
      <c r="BM51" s="119" t="s">
        <v>99</v>
      </c>
      <c r="BN51"/>
      <c r="BO51" s="60" t="str">
        <f t="shared" si="20"/>
        <v>Catégorie 2BNON</v>
      </c>
      <c r="BP51"/>
      <c r="BQ51" s="42" t="s">
        <v>132</v>
      </c>
      <c r="BR51"/>
      <c r="BS51" s="187" t="str">
        <f t="shared" si="29"/>
        <v>X</v>
      </c>
      <c r="BT51" s="19" t="str">
        <f t="shared" si="30"/>
        <v>X</v>
      </c>
      <c r="BU51" s="19" t="str">
        <f t="shared" si="31"/>
        <v>X</v>
      </c>
      <c r="BV51" s="10"/>
      <c r="BW51" s="5" t="str">
        <f t="shared" si="32"/>
        <v/>
      </c>
      <c r="BX51" s="5" t="str">
        <f t="shared" si="33"/>
        <v/>
      </c>
      <c r="BY51"/>
      <c r="BZ51" s="5" t="str">
        <f t="shared" si="34"/>
        <v>X</v>
      </c>
      <c r="CA51" s="5" t="str">
        <f t="shared" si="35"/>
        <v>X</v>
      </c>
      <c r="CB51" s="188" t="str">
        <f t="shared" si="36"/>
        <v>X</v>
      </c>
    </row>
    <row r="52" spans="1:80" s="27" customFormat="1" ht="30" customHeight="1" x14ac:dyDescent="0.55000000000000004">
      <c r="A52" s="104">
        <v>48</v>
      </c>
      <c r="B52" s="104" t="s">
        <v>75</v>
      </c>
      <c r="C52" s="111" t="s">
        <v>679</v>
      </c>
      <c r="D52" s="104" t="s">
        <v>680</v>
      </c>
      <c r="E52" s="104" t="s">
        <v>681</v>
      </c>
      <c r="F52" s="104" t="s">
        <v>682</v>
      </c>
      <c r="G52" s="104" t="s">
        <v>683</v>
      </c>
      <c r="H52" s="104" t="s">
        <v>684</v>
      </c>
      <c r="I52" s="104" t="s">
        <v>605</v>
      </c>
      <c r="J52" s="104"/>
      <c r="K52" s="104" t="s">
        <v>420</v>
      </c>
      <c r="L52" s="104"/>
      <c r="M52" s="104"/>
      <c r="N52" s="104"/>
      <c r="O52" s="104" t="s">
        <v>85</v>
      </c>
      <c r="P52" s="104"/>
      <c r="Q52" s="102"/>
      <c r="R52" s="104"/>
      <c r="S52" s="104" t="s">
        <v>86</v>
      </c>
      <c r="T52" s="104"/>
      <c r="U52" s="104" t="s">
        <v>685</v>
      </c>
      <c r="V52" s="104" t="s">
        <v>88</v>
      </c>
      <c r="W52" s="104" t="s">
        <v>686</v>
      </c>
      <c r="X52" s="104" t="s">
        <v>110</v>
      </c>
      <c r="Y52" s="104" t="s">
        <v>687</v>
      </c>
      <c r="Z52" s="104" t="s">
        <v>688</v>
      </c>
      <c r="AA52" s="104">
        <v>25</v>
      </c>
      <c r="AB52" s="128">
        <f>LOG(1.3)</f>
        <v>0.11394335230683679</v>
      </c>
      <c r="AC52" s="104" t="s">
        <v>689</v>
      </c>
      <c r="AD52" s="104" t="s">
        <v>690</v>
      </c>
      <c r="AE52"/>
      <c r="AF52" s="30" t="str" cm="1">
        <f t="array" ref="AF52">_xlfn.IFS(COUNTIF(Table14623576[[#This Row],[PBT/ vPvB]],"*X*"), 20, TRUE, "")</f>
        <v/>
      </c>
      <c r="AG52" s="30" t="str" cm="1">
        <f t="array" ref="AG52">_xlfn.IFS(COUNTIF(Table14623576[[#This Row],[Perturbateur Endocrinien]],"*X*"), 20, TRUE, "")</f>
        <v/>
      </c>
      <c r="AH52" s="30" t="str" cm="1">
        <f t="array" ref="AH52">_xlfn.IFS(COUNTIF(Table14623576[[#This Row],[Phrases H]],"*H350*"), 20, TRUE, "")</f>
        <v/>
      </c>
      <c r="AI52" s="30" t="str" cm="1">
        <f t="array" ref="AI52">_xlfn.IFS(COUNTIF(Table14623576[[#This Row],[Phrases H]],"*H360*"), 20, TRUE, "")</f>
        <v/>
      </c>
      <c r="AJ52" s="30" t="str" cm="1">
        <f t="array" ref="AJ52">_xlfn.IFS(COUNTIF(Table14623576[[#This Row],[Phrases H]],"*H340*"), 20, TRUE, "")</f>
        <v/>
      </c>
      <c r="AK52" s="30" t="str" cm="1">
        <f t="array" ref="AK52">_xlfn.IFS(COUNTIF(Table14623576[[#This Row],[Phrases H]],"*H351*"), 10, TRUE, "")</f>
        <v/>
      </c>
      <c r="AL52" s="30" t="str" cm="1">
        <f t="array" ref="AL52">_xlfn.IFS(COUNTIF(Table14623576[[#This Row],[Phrases H]],"*H361*"), 10, TRUE, "")</f>
        <v/>
      </c>
      <c r="AM52" s="30" t="str" cm="1">
        <f t="array" ref="AM52">_xlfn.IFS(COUNTIF(Table14623576[[#This Row],[Phrases H]],"*H362*"), 10, TRUE, "")</f>
        <v/>
      </c>
      <c r="AN52" s="30" t="str" cm="1">
        <f t="array" ref="AN52">_xlfn.IFS(COUNTIF(Table14623576[[#This Row],[Phrases H]],"*H341*"), 10, TRUE, "")</f>
        <v/>
      </c>
      <c r="AO52" s="30" t="str" cm="1">
        <f t="array" ref="AO52">_xlfn.IFS(COUNTIF(Table14623576[[#This Row],[Phrases H]],"*H372*"), 10, TRUE, "")</f>
        <v/>
      </c>
      <c r="AP52" s="30" t="str" cm="1">
        <f t="array" ref="AP52">_xlfn.IFS(COUNTIF(Table14623576[[#This Row],[Phrases H]],"*H410*"), 10, TRUE, "")</f>
        <v/>
      </c>
      <c r="AQ52" s="30" t="str" cm="1">
        <f t="array" ref="AQ52">_xlfn.IFS(COUNTIF(Table14623576[[#This Row],[Phrases H]],"*H373*"), 5, TRUE, "")</f>
        <v/>
      </c>
      <c r="AR52" s="30" t="str" cm="1">
        <f t="array" ref="AR52">_xlfn.IFS(COUNTIF(Table14623576[[#This Row],[Phrases H]],"*H411*"), 5, TRUE, "")</f>
        <v/>
      </c>
      <c r="AS52" s="112">
        <f t="shared" si="12"/>
        <v>0</v>
      </c>
      <c r="AT52" s="129">
        <f>LOG(1.3)</f>
        <v>0.11394335230683679</v>
      </c>
      <c r="AU52" s="113">
        <v>33</v>
      </c>
      <c r="AV52" s="114">
        <f t="shared" si="0"/>
        <v>30</v>
      </c>
      <c r="AW52" s="115" t="str">
        <f t="shared" si="37"/>
        <v>20</v>
      </c>
      <c r="AX52" s="116">
        <f t="shared" si="26"/>
        <v>20</v>
      </c>
      <c r="AY52" s="117">
        <f t="shared" si="27"/>
        <v>0.23529411764705882</v>
      </c>
      <c r="AZ52" s="118" t="str">
        <f t="shared" si="14"/>
        <v>4</v>
      </c>
      <c r="BA52" s="119" t="str">
        <f t="shared" si="28"/>
        <v>4</v>
      </c>
      <c r="BB52" s="32"/>
      <c r="BC52" s="113">
        <v>100000</v>
      </c>
      <c r="BD52" s="113" t="s">
        <v>97</v>
      </c>
      <c r="BE52" s="120">
        <f t="shared" si="22"/>
        <v>25</v>
      </c>
      <c r="BF52" s="121" t="str">
        <f t="shared" si="16"/>
        <v>Production très élevée</v>
      </c>
      <c r="BG52" s="122" t="str">
        <f t="shared" si="17"/>
        <v>A</v>
      </c>
      <c r="BH52" s="32"/>
      <c r="BI52" s="7"/>
      <c r="BJ52" s="5">
        <v>0</v>
      </c>
      <c r="BK52" s="7"/>
      <c r="BL52" s="131">
        <v>0</v>
      </c>
      <c r="BM52" s="132" t="s">
        <v>99</v>
      </c>
      <c r="BN52"/>
      <c r="BO52" s="60" t="str">
        <f t="shared" ref="BO52:BO69" si="38">_xlfn.CONCAT("Catégorie ", BA52,BG52," ",BM52)</f>
        <v>Catégorie 4A NON</v>
      </c>
      <c r="BP52"/>
      <c r="BQ52" s="42" t="s">
        <v>88</v>
      </c>
      <c r="BR52"/>
      <c r="BS52" s="187" t="str">
        <f t="shared" si="29"/>
        <v/>
      </c>
      <c r="BT52" s="19" t="str">
        <f t="shared" si="30"/>
        <v/>
      </c>
      <c r="BU52" s="19" t="str">
        <f t="shared" si="31"/>
        <v/>
      </c>
      <c r="BV52" s="10"/>
      <c r="BW52" s="5" t="str">
        <f t="shared" si="32"/>
        <v/>
      </c>
      <c r="BX52" s="5" t="str">
        <f t="shared" si="33"/>
        <v/>
      </c>
      <c r="BY52"/>
      <c r="BZ52" s="5" t="str">
        <f t="shared" si="34"/>
        <v/>
      </c>
      <c r="CA52" s="5" t="str">
        <f t="shared" si="35"/>
        <v/>
      </c>
      <c r="CB52" s="188" t="str">
        <f t="shared" si="36"/>
        <v/>
      </c>
    </row>
    <row r="53" spans="1:80" s="27" customFormat="1" ht="30" customHeight="1" x14ac:dyDescent="0.55000000000000004">
      <c r="A53" s="104">
        <v>49</v>
      </c>
      <c r="B53" s="104" t="s">
        <v>75</v>
      </c>
      <c r="C53" s="111" t="s">
        <v>691</v>
      </c>
      <c r="D53" s="104" t="s">
        <v>692</v>
      </c>
      <c r="E53" s="104" t="s">
        <v>693</v>
      </c>
      <c r="F53" s="104" t="s">
        <v>694</v>
      </c>
      <c r="G53" s="104" t="s">
        <v>695</v>
      </c>
      <c r="H53" s="104" t="s">
        <v>696</v>
      </c>
      <c r="I53" s="104"/>
      <c r="J53" s="104"/>
      <c r="K53" s="104" t="s">
        <v>292</v>
      </c>
      <c r="L53" s="104"/>
      <c r="M53" s="104"/>
      <c r="N53" s="104"/>
      <c r="O53" s="104"/>
      <c r="P53" s="104"/>
      <c r="Q53" s="102"/>
      <c r="R53" s="104" t="s">
        <v>85</v>
      </c>
      <c r="S53" s="104" t="s">
        <v>86</v>
      </c>
      <c r="T53" s="104"/>
      <c r="U53" s="104" t="s">
        <v>108</v>
      </c>
      <c r="V53" s="104" t="s">
        <v>88</v>
      </c>
      <c r="W53" s="104" t="s">
        <v>697</v>
      </c>
      <c r="X53" s="104" t="s">
        <v>698</v>
      </c>
      <c r="Y53" s="104" t="s">
        <v>699</v>
      </c>
      <c r="Z53" s="104" t="s">
        <v>700</v>
      </c>
      <c r="AA53" s="104">
        <v>23</v>
      </c>
      <c r="AB53" s="128">
        <f>LOG(33.9)</f>
        <v>1.5301996982030821</v>
      </c>
      <c r="AC53" s="104" t="s">
        <v>701</v>
      </c>
      <c r="AD53" s="104" t="s">
        <v>702</v>
      </c>
      <c r="AE53"/>
      <c r="AF53" s="30" cm="1">
        <f t="array" ref="AF53">_xlfn.IFS(COUNTIF(Table14623576[[#This Row],[PBT/ vPvB]],"*X*"), 20, TRUE, "")</f>
        <v>20</v>
      </c>
      <c r="AG53" s="30" t="str" cm="1">
        <f t="array" ref="AG53">_xlfn.IFS(COUNTIF(Table14623576[[#This Row],[Perturbateur Endocrinien]],"*X*"), 20, TRUE, "")</f>
        <v/>
      </c>
      <c r="AH53" s="30" t="str" cm="1">
        <f t="array" ref="AH53">_xlfn.IFS(COUNTIF(Table14623576[[#This Row],[Phrases H]],"*H350*"), 20, TRUE, "")</f>
        <v/>
      </c>
      <c r="AI53" s="30" t="str" cm="1">
        <f t="array" ref="AI53">_xlfn.IFS(COUNTIF(Table14623576[[#This Row],[Phrases H]],"*H360*"), 20, TRUE, "")</f>
        <v/>
      </c>
      <c r="AJ53" s="30" t="str" cm="1">
        <f t="array" ref="AJ53">_xlfn.IFS(COUNTIF(Table14623576[[#This Row],[Phrases H]],"*H340*"), 20, TRUE, "")</f>
        <v/>
      </c>
      <c r="AK53" s="30" t="str" cm="1">
        <f t="array" ref="AK53">_xlfn.IFS(COUNTIF(Table14623576[[#This Row],[Phrases H]],"*H351*"), 10, TRUE, "")</f>
        <v/>
      </c>
      <c r="AL53" s="30" t="str" cm="1">
        <f t="array" ref="AL53">_xlfn.IFS(COUNTIF(Table14623576[[#This Row],[Phrases H]],"*H361*"), 10, TRUE, "")</f>
        <v/>
      </c>
      <c r="AM53" s="30" t="str" cm="1">
        <f t="array" ref="AM53">_xlfn.IFS(COUNTIF(Table14623576[[#This Row],[Phrases H]],"*H362*"), 10, TRUE, "")</f>
        <v/>
      </c>
      <c r="AN53" s="30" t="str" cm="1">
        <f t="array" ref="AN53">_xlfn.IFS(COUNTIF(Table14623576[[#This Row],[Phrases H]],"*H341*"), 10, TRUE, "")</f>
        <v/>
      </c>
      <c r="AO53" s="30" t="str" cm="1">
        <f t="array" ref="AO53">_xlfn.IFS(COUNTIF(Table14623576[[#This Row],[Phrases H]],"*H372*"), 10, TRUE, "")</f>
        <v/>
      </c>
      <c r="AP53" s="30" t="str" cm="1">
        <f t="array" ref="AP53">_xlfn.IFS(COUNTIF(Table14623576[[#This Row],[Phrases H]],"*H410*"), 10, TRUE, "")</f>
        <v/>
      </c>
      <c r="AQ53" s="30" t="str" cm="1">
        <f t="array" ref="AQ53">_xlfn.IFS(COUNTIF(Table14623576[[#This Row],[Phrases H]],"*H373*"), 5, TRUE, "")</f>
        <v/>
      </c>
      <c r="AR53" s="30" t="str" cm="1">
        <f t="array" ref="AR53">_xlfn.IFS(COUNTIF(Table14623576[[#This Row],[Phrases H]],"*H411*"), 5, TRUE, "")</f>
        <v/>
      </c>
      <c r="AS53" s="112">
        <f t="shared" si="12"/>
        <v>20</v>
      </c>
      <c r="AT53" s="129">
        <f>LOG(33.9)</f>
        <v>1.5301996982030821</v>
      </c>
      <c r="AU53" s="113">
        <v>2400</v>
      </c>
      <c r="AV53" s="114">
        <f t="shared" si="0"/>
        <v>40</v>
      </c>
      <c r="AW53" s="115" t="str">
        <f t="shared" si="37"/>
        <v>20</v>
      </c>
      <c r="AX53" s="116">
        <f t="shared" si="26"/>
        <v>40</v>
      </c>
      <c r="AY53" s="117">
        <f t="shared" si="27"/>
        <v>0.47058823529411764</v>
      </c>
      <c r="AZ53" s="118" t="str">
        <f t="shared" si="14"/>
        <v>3</v>
      </c>
      <c r="BA53" s="119" t="str">
        <f t="shared" si="28"/>
        <v>3</v>
      </c>
      <c r="BB53" s="32"/>
      <c r="BC53" s="113">
        <v>10000</v>
      </c>
      <c r="BD53" s="113" t="s">
        <v>97</v>
      </c>
      <c r="BE53" s="120">
        <f t="shared" si="22"/>
        <v>20</v>
      </c>
      <c r="BF53" s="121" t="str">
        <f t="shared" si="16"/>
        <v>Production élevée</v>
      </c>
      <c r="BG53" s="122" t="str">
        <f t="shared" si="17"/>
        <v>B</v>
      </c>
      <c r="BH53" s="32"/>
      <c r="BI53" s="7"/>
      <c r="BJ53" s="5">
        <v>0</v>
      </c>
      <c r="BK53" s="7"/>
      <c r="BL53" s="131">
        <v>0</v>
      </c>
      <c r="BM53" s="132" t="s">
        <v>99</v>
      </c>
      <c r="BN53"/>
      <c r="BO53" s="60" t="str">
        <f t="shared" si="38"/>
        <v>Catégorie 3B NON</v>
      </c>
      <c r="BP53"/>
      <c r="BQ53" s="42" t="s">
        <v>88</v>
      </c>
      <c r="BR53"/>
      <c r="BS53" s="187" t="str">
        <f t="shared" si="29"/>
        <v>X</v>
      </c>
      <c r="BT53" s="19" t="str">
        <f t="shared" si="30"/>
        <v/>
      </c>
      <c r="BU53" s="19" t="str">
        <f t="shared" si="31"/>
        <v/>
      </c>
      <c r="BV53" s="10"/>
      <c r="BW53" s="5" t="str">
        <f t="shared" si="32"/>
        <v/>
      </c>
      <c r="BX53" s="5" t="str">
        <f t="shared" si="33"/>
        <v/>
      </c>
      <c r="BY53"/>
      <c r="BZ53" s="5" t="str">
        <f t="shared" si="34"/>
        <v>X</v>
      </c>
      <c r="CA53" s="5" t="str">
        <f t="shared" si="35"/>
        <v/>
      </c>
      <c r="CB53" s="188" t="str">
        <f t="shared" si="36"/>
        <v/>
      </c>
    </row>
    <row r="54" spans="1:80" s="27" customFormat="1" ht="30" customHeight="1" x14ac:dyDescent="0.55000000000000004">
      <c r="A54" s="104">
        <v>50</v>
      </c>
      <c r="B54" s="104" t="s">
        <v>75</v>
      </c>
      <c r="C54" s="111" t="s">
        <v>703</v>
      </c>
      <c r="D54" s="104" t="s">
        <v>704</v>
      </c>
      <c r="E54" s="104" t="s">
        <v>705</v>
      </c>
      <c r="F54" s="104" t="s">
        <v>706</v>
      </c>
      <c r="G54" s="104" t="s">
        <v>707</v>
      </c>
      <c r="H54" s="104" t="s">
        <v>708</v>
      </c>
      <c r="I54" s="104" t="s">
        <v>82</v>
      </c>
      <c r="J54" s="104"/>
      <c r="K54" s="104" t="s">
        <v>88</v>
      </c>
      <c r="L54" s="104"/>
      <c r="M54" s="104"/>
      <c r="N54" s="104"/>
      <c r="O54" s="104"/>
      <c r="P54" s="104"/>
      <c r="Q54" s="102"/>
      <c r="R54" s="104"/>
      <c r="S54" s="104" t="s">
        <v>88</v>
      </c>
      <c r="T54" s="104"/>
      <c r="U54" s="104" t="s">
        <v>709</v>
      </c>
      <c r="V54" s="104" t="s">
        <v>173</v>
      </c>
      <c r="W54" s="104" t="s">
        <v>710</v>
      </c>
      <c r="X54" s="104" t="s">
        <v>711</v>
      </c>
      <c r="Y54" s="104" t="s">
        <v>712</v>
      </c>
      <c r="Z54" s="104" t="s">
        <v>713</v>
      </c>
      <c r="AA54" s="104" t="s">
        <v>93</v>
      </c>
      <c r="AB54" s="128">
        <f>LOG(31.4)</f>
        <v>1.4969296480732148</v>
      </c>
      <c r="AC54" s="104" t="s">
        <v>714</v>
      </c>
      <c r="AD54" s="104" t="s">
        <v>715</v>
      </c>
      <c r="AE54"/>
      <c r="AF54" s="30" t="str" cm="1">
        <f t="array" ref="AF54">_xlfn.IFS(COUNTIF(Table14623576[[#This Row],[PBT/ vPvB]],"*X*"), 20, TRUE, "")</f>
        <v/>
      </c>
      <c r="AG54" s="30" t="str" cm="1">
        <f t="array" ref="AG54">_xlfn.IFS(COUNTIF(Table14623576[[#This Row],[Perturbateur Endocrinien]],"*X*"), 20, TRUE, "")</f>
        <v/>
      </c>
      <c r="AH54" s="30" cm="1">
        <f t="array" ref="AH54">_xlfn.IFS(COUNTIF(Table14623576[[#This Row],[Phrases H]],"*H350*"), 20, TRUE, "")</f>
        <v>20</v>
      </c>
      <c r="AI54" s="30" t="str" cm="1">
        <f t="array" ref="AI54">_xlfn.IFS(COUNTIF(Table14623576[[#This Row],[Phrases H]],"*H360*"), 20, TRUE, "")</f>
        <v/>
      </c>
      <c r="AJ54" s="30" t="str" cm="1">
        <f t="array" ref="AJ54">_xlfn.IFS(COUNTIF(Table14623576[[#This Row],[Phrases H]],"*H340*"), 20, TRUE, "")</f>
        <v/>
      </c>
      <c r="AK54" s="30" t="str" cm="1">
        <f t="array" ref="AK54">_xlfn.IFS(COUNTIF(Table14623576[[#This Row],[Phrases H]],"*H351*"), 10, TRUE, "")</f>
        <v/>
      </c>
      <c r="AL54" s="30" t="str" cm="1">
        <f t="array" ref="AL54">_xlfn.IFS(COUNTIF(Table14623576[[#This Row],[Phrases H]],"*H361*"), 10, TRUE, "")</f>
        <v/>
      </c>
      <c r="AM54" s="30" t="str" cm="1">
        <f t="array" ref="AM54">_xlfn.IFS(COUNTIF(Table14623576[[#This Row],[Phrases H]],"*H362*"), 10, TRUE, "")</f>
        <v/>
      </c>
      <c r="AN54" s="30" t="str" cm="1">
        <f t="array" ref="AN54">_xlfn.IFS(COUNTIF(Table14623576[[#This Row],[Phrases H]],"*H341*"), 10, TRUE, "")</f>
        <v/>
      </c>
      <c r="AO54" s="30" t="str" cm="1">
        <f t="array" ref="AO54">_xlfn.IFS(COUNTIF(Table14623576[[#This Row],[Phrases H]],"*H372*"), 10, TRUE, "")</f>
        <v/>
      </c>
      <c r="AP54" s="30" t="str" cm="1">
        <f t="array" ref="AP54">_xlfn.IFS(COUNTIF(Table14623576[[#This Row],[Phrases H]],"*H410*"), 10, TRUE, "")</f>
        <v/>
      </c>
      <c r="AQ54" s="30" t="str" cm="1">
        <f t="array" ref="AQ54">_xlfn.IFS(COUNTIF(Table14623576[[#This Row],[Phrases H]],"*H373*"), 5, TRUE, "")</f>
        <v/>
      </c>
      <c r="AR54" s="30" t="str" cm="1">
        <f t="array" ref="AR54">_xlfn.IFS(COUNTIF(Table14623576[[#This Row],[Phrases H]],"*H411*"), 5, TRUE, "")</f>
        <v/>
      </c>
      <c r="AS54" s="112">
        <f t="shared" si="12"/>
        <v>20</v>
      </c>
      <c r="AT54" s="129">
        <f>LOG(31.4)</f>
        <v>1.4969296480732148</v>
      </c>
      <c r="AU54" s="113">
        <v>8243.1550000000007</v>
      </c>
      <c r="AV54" s="114">
        <f t="shared" si="0"/>
        <v>40</v>
      </c>
      <c r="AW54" s="115" t="str">
        <f t="shared" si="37"/>
        <v>20</v>
      </c>
      <c r="AX54" s="116">
        <f t="shared" si="26"/>
        <v>40</v>
      </c>
      <c r="AY54" s="117">
        <f t="shared" si="27"/>
        <v>0.47058823529411764</v>
      </c>
      <c r="AZ54" s="118" t="str">
        <f t="shared" si="14"/>
        <v>3</v>
      </c>
      <c r="BA54" s="119" t="str">
        <f t="shared" si="28"/>
        <v>3</v>
      </c>
      <c r="BB54" s="32"/>
      <c r="BC54" s="113" t="s">
        <v>88</v>
      </c>
      <c r="BD54" s="113" t="s">
        <v>97</v>
      </c>
      <c r="BE54" s="120">
        <f t="shared" si="22"/>
        <v>0</v>
      </c>
      <c r="BF54" s="121" t="str">
        <f t="shared" si="16"/>
        <v>N/A</v>
      </c>
      <c r="BG54" s="122" t="str">
        <f t="shared" si="17"/>
        <v>E</v>
      </c>
      <c r="BH54" s="32"/>
      <c r="BI54" s="7"/>
      <c r="BJ54" s="5">
        <v>0</v>
      </c>
      <c r="BK54" s="7"/>
      <c r="BL54" s="131">
        <v>0</v>
      </c>
      <c r="BM54" s="132" t="s">
        <v>99</v>
      </c>
      <c r="BN54"/>
      <c r="BO54" s="60" t="str">
        <f t="shared" si="38"/>
        <v>Catégorie 3E NON</v>
      </c>
      <c r="BP54"/>
      <c r="BQ54" s="42" t="s">
        <v>88</v>
      </c>
      <c r="BR54"/>
      <c r="BS54" s="187" t="str">
        <f t="shared" si="29"/>
        <v>X</v>
      </c>
      <c r="BT54" s="19" t="str">
        <f t="shared" si="30"/>
        <v/>
      </c>
      <c r="BU54" s="19" t="str">
        <f t="shared" si="31"/>
        <v/>
      </c>
      <c r="BV54" s="10"/>
      <c r="BW54" s="5" t="str">
        <f t="shared" si="32"/>
        <v>X</v>
      </c>
      <c r="BX54" s="5" t="str">
        <f t="shared" si="33"/>
        <v/>
      </c>
      <c r="BY54"/>
      <c r="BZ54" s="5" t="str">
        <f t="shared" si="34"/>
        <v/>
      </c>
      <c r="CA54" s="5" t="str">
        <f t="shared" si="35"/>
        <v/>
      </c>
      <c r="CB54" s="188" t="str">
        <f t="shared" si="36"/>
        <v/>
      </c>
    </row>
    <row r="55" spans="1:80" s="27" customFormat="1" ht="30" customHeight="1" x14ac:dyDescent="0.55000000000000004">
      <c r="A55" s="104">
        <v>51</v>
      </c>
      <c r="B55" s="104" t="s">
        <v>75</v>
      </c>
      <c r="C55" s="111" t="s">
        <v>716</v>
      </c>
      <c r="D55" s="104" t="s">
        <v>717</v>
      </c>
      <c r="E55" s="104" t="s">
        <v>718</v>
      </c>
      <c r="F55" s="104" t="s">
        <v>719</v>
      </c>
      <c r="G55" s="104" t="s">
        <v>720</v>
      </c>
      <c r="H55" s="104" t="s">
        <v>721</v>
      </c>
      <c r="I55" s="104" t="s">
        <v>605</v>
      </c>
      <c r="J55" s="104"/>
      <c r="K55" s="104" t="s">
        <v>84</v>
      </c>
      <c r="L55" s="104"/>
      <c r="M55" s="104"/>
      <c r="N55" s="104"/>
      <c r="O55" s="104"/>
      <c r="P55" s="104"/>
      <c r="Q55" s="102"/>
      <c r="R55" s="104"/>
      <c r="S55" s="104" t="s">
        <v>86</v>
      </c>
      <c r="T55" s="104"/>
      <c r="U55" s="104" t="s">
        <v>722</v>
      </c>
      <c r="V55" s="104" t="s">
        <v>88</v>
      </c>
      <c r="W55" s="104" t="s">
        <v>723</v>
      </c>
      <c r="X55" s="104" t="s">
        <v>335</v>
      </c>
      <c r="Y55" s="104" t="s">
        <v>160</v>
      </c>
      <c r="Z55" s="104" t="s">
        <v>724</v>
      </c>
      <c r="AA55" s="104">
        <v>25</v>
      </c>
      <c r="AB55" s="128">
        <f>LOG(97.7)</f>
        <v>1.989894563718773</v>
      </c>
      <c r="AC55" s="104" t="s">
        <v>725</v>
      </c>
      <c r="AD55" s="104" t="s">
        <v>726</v>
      </c>
      <c r="AE55"/>
      <c r="AF55" s="30" t="str" cm="1">
        <f t="array" ref="AF55">_xlfn.IFS(COUNTIF(Table14623576[[#This Row],[PBT/ vPvB]],"*X*"), 20, TRUE, "")</f>
        <v/>
      </c>
      <c r="AG55" s="30" t="str" cm="1">
        <f t="array" ref="AG55">_xlfn.IFS(COUNTIF(Table14623576[[#This Row],[Perturbateur Endocrinien]],"*X*"), 20, TRUE, "")</f>
        <v/>
      </c>
      <c r="AH55" s="30" t="str" cm="1">
        <f t="array" ref="AH55">_xlfn.IFS(COUNTIF(Table14623576[[#This Row],[Phrases H]],"*H350*"), 20, TRUE, "")</f>
        <v/>
      </c>
      <c r="AI55" s="30" t="str" cm="1">
        <f t="array" ref="AI55">_xlfn.IFS(COUNTIF(Table14623576[[#This Row],[Phrases H]],"*H360*"), 20, TRUE, "")</f>
        <v/>
      </c>
      <c r="AJ55" s="30" t="str" cm="1">
        <f t="array" ref="AJ55">_xlfn.IFS(COUNTIF(Table14623576[[#This Row],[Phrases H]],"*H340*"), 20, TRUE, "")</f>
        <v/>
      </c>
      <c r="AK55" s="30" t="str" cm="1">
        <f t="array" ref="AK55">_xlfn.IFS(COUNTIF(Table14623576[[#This Row],[Phrases H]],"*H351*"), 10, TRUE, "")</f>
        <v/>
      </c>
      <c r="AL55" s="30" t="str" cm="1">
        <f t="array" ref="AL55">_xlfn.IFS(COUNTIF(Table14623576[[#This Row],[Phrases H]],"*H361*"), 10, TRUE, "")</f>
        <v/>
      </c>
      <c r="AM55" s="30" t="str" cm="1">
        <f t="array" ref="AM55">_xlfn.IFS(COUNTIF(Table14623576[[#This Row],[Phrases H]],"*H362*"), 10, TRUE, "")</f>
        <v/>
      </c>
      <c r="AN55" s="30" t="str" cm="1">
        <f t="array" ref="AN55">_xlfn.IFS(COUNTIF(Table14623576[[#This Row],[Phrases H]],"*H341*"), 10, TRUE, "")</f>
        <v/>
      </c>
      <c r="AO55" s="30" t="str" cm="1">
        <f t="array" ref="AO55">_xlfn.IFS(COUNTIF(Table14623576[[#This Row],[Phrases H]],"*H372*"), 10, TRUE, "")</f>
        <v/>
      </c>
      <c r="AP55" s="30" t="str" cm="1">
        <f t="array" ref="AP55">_xlfn.IFS(COUNTIF(Table14623576[[#This Row],[Phrases H]],"*H410*"), 10, TRUE, "")</f>
        <v/>
      </c>
      <c r="AQ55" s="30" cm="1">
        <f t="array" ref="AQ55">_xlfn.IFS(COUNTIF(Table14623576[[#This Row],[Phrases H]],"*H373*"), 5, TRUE, "")</f>
        <v>5</v>
      </c>
      <c r="AR55" s="30" t="str" cm="1">
        <f t="array" ref="AR55">_xlfn.IFS(COUNTIF(Table14623576[[#This Row],[Phrases H]],"*H411*"), 5, TRUE, "")</f>
        <v/>
      </c>
      <c r="AS55" s="112">
        <f t="shared" si="12"/>
        <v>5</v>
      </c>
      <c r="AT55" s="129">
        <f>LOG(97.7)</f>
        <v>1.989894563718773</v>
      </c>
      <c r="AU55" s="113">
        <v>3500</v>
      </c>
      <c r="AV55" s="114">
        <f t="shared" si="0"/>
        <v>40</v>
      </c>
      <c r="AW55" s="115" t="str">
        <f t="shared" si="37"/>
        <v>20</v>
      </c>
      <c r="AX55" s="116">
        <f t="shared" si="26"/>
        <v>25</v>
      </c>
      <c r="AY55" s="117">
        <f t="shared" si="27"/>
        <v>0.29411764705882354</v>
      </c>
      <c r="AZ55" s="118" t="str">
        <f t="shared" si="14"/>
        <v>4</v>
      </c>
      <c r="BA55" s="119" t="str">
        <f t="shared" si="28"/>
        <v>4</v>
      </c>
      <c r="BB55" s="32"/>
      <c r="BC55" s="113">
        <v>1000</v>
      </c>
      <c r="BD55" s="113" t="s">
        <v>97</v>
      </c>
      <c r="BE55" s="120">
        <f t="shared" si="22"/>
        <v>15</v>
      </c>
      <c r="BF55" s="121" t="str">
        <f t="shared" si="16"/>
        <v>Production modérée</v>
      </c>
      <c r="BG55" s="122" t="str">
        <f t="shared" si="17"/>
        <v>C</v>
      </c>
      <c r="BH55" s="32"/>
      <c r="BI55" s="7"/>
      <c r="BJ55" s="5">
        <v>0</v>
      </c>
      <c r="BK55" s="7"/>
      <c r="BL55" s="131">
        <v>0</v>
      </c>
      <c r="BM55" s="132" t="s">
        <v>99</v>
      </c>
      <c r="BN55"/>
      <c r="BO55" s="60" t="str">
        <f t="shared" si="38"/>
        <v>Catégorie 4C NON</v>
      </c>
      <c r="BP55"/>
      <c r="BQ55" s="42" t="s">
        <v>88</v>
      </c>
      <c r="BR55"/>
      <c r="BS55" s="187" t="str">
        <f t="shared" si="29"/>
        <v/>
      </c>
      <c r="BT55" s="19" t="str">
        <f t="shared" si="30"/>
        <v/>
      </c>
      <c r="BU55" s="19" t="str">
        <f t="shared" si="31"/>
        <v/>
      </c>
      <c r="BV55" s="10"/>
      <c r="BW55" s="5" t="str">
        <f t="shared" si="32"/>
        <v/>
      </c>
      <c r="BX55" s="5" t="str">
        <f t="shared" si="33"/>
        <v/>
      </c>
      <c r="BY55"/>
      <c r="BZ55" s="5" t="str">
        <f t="shared" si="34"/>
        <v/>
      </c>
      <c r="CA55" s="5" t="str">
        <f t="shared" si="35"/>
        <v/>
      </c>
      <c r="CB55" s="188" t="str">
        <f t="shared" si="36"/>
        <v/>
      </c>
    </row>
    <row r="56" spans="1:80" s="27" customFormat="1" ht="30" customHeight="1" x14ac:dyDescent="0.55000000000000004">
      <c r="A56" s="104">
        <v>52</v>
      </c>
      <c r="B56" s="104" t="s">
        <v>75</v>
      </c>
      <c r="C56" s="111" t="s">
        <v>727</v>
      </c>
      <c r="D56" s="104" t="s">
        <v>728</v>
      </c>
      <c r="E56" s="104" t="s">
        <v>729</v>
      </c>
      <c r="F56" s="104" t="s">
        <v>730</v>
      </c>
      <c r="G56" s="104" t="s">
        <v>731</v>
      </c>
      <c r="H56" s="104" t="s">
        <v>732</v>
      </c>
      <c r="I56" s="104" t="s">
        <v>512</v>
      </c>
      <c r="J56" s="104" t="s">
        <v>733</v>
      </c>
      <c r="K56" s="104" t="s">
        <v>344</v>
      </c>
      <c r="L56" s="104"/>
      <c r="M56" s="104"/>
      <c r="N56" s="104"/>
      <c r="O56" s="104" t="s">
        <v>85</v>
      </c>
      <c r="P56" s="104"/>
      <c r="Q56" s="102"/>
      <c r="R56" s="104"/>
      <c r="S56" s="104" t="s">
        <v>88</v>
      </c>
      <c r="T56" s="104"/>
      <c r="U56" s="104" t="s">
        <v>249</v>
      </c>
      <c r="V56" s="104" t="s">
        <v>88</v>
      </c>
      <c r="W56" s="104" t="s">
        <v>734</v>
      </c>
      <c r="X56" s="104" t="s">
        <v>735</v>
      </c>
      <c r="Y56" s="104" t="s">
        <v>88</v>
      </c>
      <c r="Z56" s="104" t="s">
        <v>88</v>
      </c>
      <c r="AA56" s="104" t="s">
        <v>88</v>
      </c>
      <c r="AB56" s="104" t="s">
        <v>88</v>
      </c>
      <c r="AC56" s="104" t="s">
        <v>88</v>
      </c>
      <c r="AD56" s="104" t="s">
        <v>736</v>
      </c>
      <c r="AE56"/>
      <c r="AF56" s="30" t="str" cm="1">
        <f t="array" ref="AF56">_xlfn.IFS(COUNTIF(Table14623576[[#This Row],[PBT/ vPvB]],"*X*"), 20, TRUE, "")</f>
        <v/>
      </c>
      <c r="AG56" s="30" t="str" cm="1">
        <f t="array" ref="AG56">_xlfn.IFS(COUNTIF(Table14623576[[#This Row],[Perturbateur Endocrinien]],"*X*"), 20, TRUE, "")</f>
        <v/>
      </c>
      <c r="AH56" s="30" t="str" cm="1">
        <f t="array" ref="AH56">_xlfn.IFS(COUNTIF(Table14623576[[#This Row],[Phrases H]],"*H350*"), 20, TRUE, "")</f>
        <v/>
      </c>
      <c r="AI56" s="30" cm="1">
        <f t="array" ref="AI56">_xlfn.IFS(COUNTIF(Table14623576[[#This Row],[Phrases H]],"*H360*"), 20, TRUE, "")</f>
        <v>20</v>
      </c>
      <c r="AJ56" s="30" t="str" cm="1">
        <f t="array" ref="AJ56">_xlfn.IFS(COUNTIF(Table14623576[[#This Row],[Phrases H]],"*H340*"), 20, TRUE, "")</f>
        <v/>
      </c>
      <c r="AK56" s="30" t="str" cm="1">
        <f t="array" ref="AK56">_xlfn.IFS(COUNTIF(Table14623576[[#This Row],[Phrases H]],"*H351*"), 10, TRUE, "")</f>
        <v/>
      </c>
      <c r="AL56" s="30" t="str" cm="1">
        <f t="array" ref="AL56">_xlfn.IFS(COUNTIF(Table14623576[[#This Row],[Phrases H]],"*H361*"), 10, TRUE, "")</f>
        <v/>
      </c>
      <c r="AM56" s="30" t="str" cm="1">
        <f t="array" ref="AM56">_xlfn.IFS(COUNTIF(Table14623576[[#This Row],[Phrases H]],"*H362*"), 10, TRUE, "")</f>
        <v/>
      </c>
      <c r="AN56" s="30" t="str" cm="1">
        <f t="array" ref="AN56">_xlfn.IFS(COUNTIF(Table14623576[[#This Row],[Phrases H]],"*H341*"), 10, TRUE, "")</f>
        <v/>
      </c>
      <c r="AO56" s="30" t="str" cm="1">
        <f t="array" ref="AO56">_xlfn.IFS(COUNTIF(Table14623576[[#This Row],[Phrases H]],"*H372*"), 10, TRUE, "")</f>
        <v/>
      </c>
      <c r="AP56" s="30" t="str" cm="1">
        <f t="array" ref="AP56">_xlfn.IFS(COUNTIF(Table14623576[[#This Row],[Phrases H]],"*H410*"), 10, TRUE, "")</f>
        <v/>
      </c>
      <c r="AQ56" s="30" t="str" cm="1">
        <f t="array" ref="AQ56">_xlfn.IFS(COUNTIF(Table14623576[[#This Row],[Phrases H]],"*H373*"), 5, TRUE, "")</f>
        <v/>
      </c>
      <c r="AR56" s="30" t="str" cm="1">
        <f t="array" ref="AR56">_xlfn.IFS(COUNTIF(Table14623576[[#This Row],[Phrases H]],"*H411*"), 5, TRUE, "")</f>
        <v/>
      </c>
      <c r="AS56" s="112">
        <f t="shared" si="12"/>
        <v>20</v>
      </c>
      <c r="AT56" s="113" t="s">
        <v>88</v>
      </c>
      <c r="AU56" s="113">
        <v>36000</v>
      </c>
      <c r="AV56" s="114">
        <f t="shared" si="0"/>
        <v>40</v>
      </c>
      <c r="AW56" s="115">
        <f t="shared" ref="AW56:AW62" si="39">IF(OR(AV56=30,AV56=40),10,IF(AV56=50,20,"0"))</f>
        <v>10</v>
      </c>
      <c r="AX56" s="116">
        <f t="shared" si="26"/>
        <v>30</v>
      </c>
      <c r="AY56" s="117">
        <f t="shared" si="27"/>
        <v>0.35294117647058826</v>
      </c>
      <c r="AZ56" s="118" t="str">
        <f t="shared" si="14"/>
        <v>4</v>
      </c>
      <c r="BA56" s="119" t="str">
        <f t="shared" si="28"/>
        <v>4</v>
      </c>
      <c r="BB56" s="32"/>
      <c r="BC56" s="113">
        <v>100</v>
      </c>
      <c r="BD56" s="113" t="s">
        <v>97</v>
      </c>
      <c r="BE56" s="120">
        <f t="shared" si="22"/>
        <v>10</v>
      </c>
      <c r="BF56" s="121" t="str">
        <f t="shared" si="16"/>
        <v>Faible production</v>
      </c>
      <c r="BG56" s="122" t="str">
        <f t="shared" si="17"/>
        <v>D</v>
      </c>
      <c r="BH56" s="32"/>
      <c r="BI56" s="7"/>
      <c r="BJ56" s="5">
        <v>0</v>
      </c>
      <c r="BK56" s="7"/>
      <c r="BL56" s="131">
        <v>0</v>
      </c>
      <c r="BM56" s="132" t="s">
        <v>99</v>
      </c>
      <c r="BN56"/>
      <c r="BO56" s="60" t="str">
        <f t="shared" si="38"/>
        <v>Catégorie 4D NON</v>
      </c>
      <c r="BP56"/>
      <c r="BQ56" s="42" t="s">
        <v>150</v>
      </c>
      <c r="BR56"/>
      <c r="BS56" s="187" t="str">
        <f t="shared" si="29"/>
        <v/>
      </c>
      <c r="BT56" s="19" t="str">
        <f t="shared" si="30"/>
        <v/>
      </c>
      <c r="BU56" s="19" t="str">
        <f t="shared" si="31"/>
        <v/>
      </c>
      <c r="BV56" s="10"/>
      <c r="BW56" s="5" t="str">
        <f t="shared" si="32"/>
        <v>X</v>
      </c>
      <c r="BX56" s="5" t="str">
        <f t="shared" si="33"/>
        <v/>
      </c>
      <c r="BY56"/>
      <c r="BZ56" s="5" t="str">
        <f t="shared" si="34"/>
        <v/>
      </c>
      <c r="CA56" s="5" t="str">
        <f t="shared" si="35"/>
        <v/>
      </c>
      <c r="CB56" s="188" t="str">
        <f t="shared" si="36"/>
        <v/>
      </c>
    </row>
    <row r="57" spans="1:80" s="27" customFormat="1" ht="30" customHeight="1" x14ac:dyDescent="0.55000000000000004">
      <c r="A57" s="104">
        <v>53</v>
      </c>
      <c r="B57" s="104" t="s">
        <v>75</v>
      </c>
      <c r="C57" s="111" t="s">
        <v>737</v>
      </c>
      <c r="D57" s="104" t="s">
        <v>738</v>
      </c>
      <c r="E57" s="104" t="s">
        <v>739</v>
      </c>
      <c r="F57" s="104" t="s">
        <v>740</v>
      </c>
      <c r="G57" s="104" t="s">
        <v>741</v>
      </c>
      <c r="H57" s="104" t="s">
        <v>742</v>
      </c>
      <c r="I57" s="104" t="s">
        <v>512</v>
      </c>
      <c r="J57" s="104" t="s">
        <v>733</v>
      </c>
      <c r="K57" s="104" t="s">
        <v>379</v>
      </c>
      <c r="L57" s="104"/>
      <c r="M57" s="104"/>
      <c r="N57" s="104"/>
      <c r="O57" s="104"/>
      <c r="P57" s="104"/>
      <c r="Q57" s="102"/>
      <c r="R57" s="104"/>
      <c r="S57" s="104" t="s">
        <v>88</v>
      </c>
      <c r="T57" s="104"/>
      <c r="U57" s="104" t="s">
        <v>743</v>
      </c>
      <c r="V57" s="104" t="s">
        <v>88</v>
      </c>
      <c r="W57" s="104" t="s">
        <v>744</v>
      </c>
      <c r="X57" s="104" t="s">
        <v>88</v>
      </c>
      <c r="Y57" s="104" t="s">
        <v>88</v>
      </c>
      <c r="Z57" s="104" t="s">
        <v>88</v>
      </c>
      <c r="AA57" s="104" t="s">
        <v>88</v>
      </c>
      <c r="AB57" s="104" t="s">
        <v>88</v>
      </c>
      <c r="AC57" s="104" t="s">
        <v>88</v>
      </c>
      <c r="AD57" s="104" t="s">
        <v>93</v>
      </c>
      <c r="AE57"/>
      <c r="AF57" s="30" t="str" cm="1">
        <f t="array" ref="AF57">_xlfn.IFS(COUNTIF(Table14623576[[#This Row],[PBT/ vPvB]],"*X*"), 20, TRUE, "")</f>
        <v/>
      </c>
      <c r="AG57" s="30" t="str" cm="1">
        <f t="array" ref="AG57">_xlfn.IFS(COUNTIF(Table14623576[[#This Row],[Perturbateur Endocrinien]],"*X*"), 20, TRUE, "")</f>
        <v/>
      </c>
      <c r="AH57" s="30" t="str" cm="1">
        <f t="array" ref="AH57">_xlfn.IFS(COUNTIF(Table14623576[[#This Row],[Phrases H]],"*H350*"), 20, TRUE, "")</f>
        <v/>
      </c>
      <c r="AI57" s="30" cm="1">
        <f t="array" ref="AI57">_xlfn.IFS(COUNTIF(Table14623576[[#This Row],[Phrases H]],"*H360*"), 20, TRUE, "")</f>
        <v>20</v>
      </c>
      <c r="AJ57" s="30" t="str" cm="1">
        <f t="array" ref="AJ57">_xlfn.IFS(COUNTIF(Table14623576[[#This Row],[Phrases H]],"*H340*"), 20, TRUE, "")</f>
        <v/>
      </c>
      <c r="AK57" s="30" t="str" cm="1">
        <f t="array" ref="AK57">_xlfn.IFS(COUNTIF(Table14623576[[#This Row],[Phrases H]],"*H351*"), 10, TRUE, "")</f>
        <v/>
      </c>
      <c r="AL57" s="30" t="str" cm="1">
        <f t="array" ref="AL57">_xlfn.IFS(COUNTIF(Table14623576[[#This Row],[Phrases H]],"*H361*"), 10, TRUE, "")</f>
        <v/>
      </c>
      <c r="AM57" s="30" t="str" cm="1">
        <f t="array" ref="AM57">_xlfn.IFS(COUNTIF(Table14623576[[#This Row],[Phrases H]],"*H362*"), 10, TRUE, "")</f>
        <v/>
      </c>
      <c r="AN57" s="30" cm="1">
        <f t="array" ref="AN57">_xlfn.IFS(COUNTIF(Table14623576[[#This Row],[Phrases H]],"*H341*"), 10, TRUE, "")</f>
        <v>10</v>
      </c>
      <c r="AO57" s="30" t="str" cm="1">
        <f t="array" ref="AO57">_xlfn.IFS(COUNTIF(Table14623576[[#This Row],[Phrases H]],"*H372*"), 10, TRUE, "")</f>
        <v/>
      </c>
      <c r="AP57" s="30" t="str" cm="1">
        <f t="array" ref="AP57">_xlfn.IFS(COUNTIF(Table14623576[[#This Row],[Phrases H]],"*H410*"), 10, TRUE, "")</f>
        <v/>
      </c>
      <c r="AQ57" s="30" t="str" cm="1">
        <f t="array" ref="AQ57">_xlfn.IFS(COUNTIF(Table14623576[[#This Row],[Phrases H]],"*H373*"), 5, TRUE, "")</f>
        <v/>
      </c>
      <c r="AR57" s="30" cm="1">
        <f t="array" ref="AR57">_xlfn.IFS(COUNTIF(Table14623576[[#This Row],[Phrases H]],"*H411*"), 5, TRUE, "")</f>
        <v>5</v>
      </c>
      <c r="AS57" s="112">
        <f t="shared" si="12"/>
        <v>35</v>
      </c>
      <c r="AT57" s="113" t="s">
        <v>88</v>
      </c>
      <c r="AU57" s="113">
        <v>2891</v>
      </c>
      <c r="AV57" s="114">
        <f t="shared" si="0"/>
        <v>40</v>
      </c>
      <c r="AW57" s="115">
        <f t="shared" si="39"/>
        <v>10</v>
      </c>
      <c r="AX57" s="116">
        <f t="shared" si="26"/>
        <v>45</v>
      </c>
      <c r="AY57" s="117">
        <f t="shared" si="27"/>
        <v>0.52941176470588236</v>
      </c>
      <c r="AZ57" s="118" t="str">
        <f t="shared" si="14"/>
        <v>3</v>
      </c>
      <c r="BA57" s="119" t="str">
        <f t="shared" si="28"/>
        <v>3</v>
      </c>
      <c r="BB57" s="32"/>
      <c r="BC57" s="113">
        <v>100</v>
      </c>
      <c r="BD57" s="113" t="s">
        <v>97</v>
      </c>
      <c r="BE57" s="120">
        <f t="shared" si="22"/>
        <v>10</v>
      </c>
      <c r="BF57" s="121" t="str">
        <f t="shared" si="16"/>
        <v>Faible production</v>
      </c>
      <c r="BG57" s="122" t="str">
        <f t="shared" si="17"/>
        <v>D</v>
      </c>
      <c r="BH57" s="32"/>
      <c r="BI57" s="7"/>
      <c r="BJ57" s="5">
        <v>0</v>
      </c>
      <c r="BK57" s="7"/>
      <c r="BL57" s="131">
        <v>0</v>
      </c>
      <c r="BM57" s="132" t="s">
        <v>99</v>
      </c>
      <c r="BN57"/>
      <c r="BO57" s="60" t="str">
        <f t="shared" si="38"/>
        <v>Catégorie 3D NON</v>
      </c>
      <c r="BP57"/>
      <c r="BQ57" s="42" t="s">
        <v>88</v>
      </c>
      <c r="BR57"/>
      <c r="BS57" s="187" t="str">
        <f t="shared" si="29"/>
        <v>X</v>
      </c>
      <c r="BT57" s="19" t="str">
        <f t="shared" si="30"/>
        <v>X</v>
      </c>
      <c r="BU57" s="19" t="str">
        <f t="shared" si="31"/>
        <v/>
      </c>
      <c r="BV57" s="10"/>
      <c r="BW57" s="5" t="str">
        <f t="shared" si="32"/>
        <v>X</v>
      </c>
      <c r="BX57" s="5" t="str">
        <f t="shared" si="33"/>
        <v/>
      </c>
      <c r="BY57"/>
      <c r="BZ57" s="5" t="str">
        <f t="shared" si="34"/>
        <v/>
      </c>
      <c r="CA57" s="5" t="str">
        <f t="shared" si="35"/>
        <v/>
      </c>
      <c r="CB57" s="188" t="str">
        <f t="shared" si="36"/>
        <v/>
      </c>
    </row>
    <row r="58" spans="1:80" s="27" customFormat="1" ht="30" customHeight="1" x14ac:dyDescent="0.55000000000000004">
      <c r="A58" s="104">
        <v>54</v>
      </c>
      <c r="B58" s="104" t="s">
        <v>75</v>
      </c>
      <c r="C58" s="111" t="s">
        <v>745</v>
      </c>
      <c r="D58" s="104" t="s">
        <v>746</v>
      </c>
      <c r="E58" s="104" t="s">
        <v>747</v>
      </c>
      <c r="F58" s="104" t="s">
        <v>748</v>
      </c>
      <c r="G58" s="104" t="s">
        <v>749</v>
      </c>
      <c r="H58" s="104" t="s">
        <v>750</v>
      </c>
      <c r="I58" s="104" t="s">
        <v>512</v>
      </c>
      <c r="J58" s="104"/>
      <c r="K58" s="104" t="s">
        <v>751</v>
      </c>
      <c r="L58" s="104"/>
      <c r="M58" s="104"/>
      <c r="N58" s="104"/>
      <c r="O58" s="104"/>
      <c r="P58" s="104"/>
      <c r="Q58" s="102"/>
      <c r="R58" s="104"/>
      <c r="S58" s="104" t="s">
        <v>88</v>
      </c>
      <c r="T58" s="104"/>
      <c r="U58" s="104" t="s">
        <v>752</v>
      </c>
      <c r="V58" s="104" t="s">
        <v>88</v>
      </c>
      <c r="W58" s="104" t="s">
        <v>753</v>
      </c>
      <c r="X58" s="104" t="s">
        <v>754</v>
      </c>
      <c r="Y58" s="104" t="s">
        <v>93</v>
      </c>
      <c r="Z58" s="104" t="s">
        <v>755</v>
      </c>
      <c r="AA58" s="104" t="s">
        <v>88</v>
      </c>
      <c r="AB58" s="104" t="s">
        <v>93</v>
      </c>
      <c r="AC58" s="104" t="s">
        <v>93</v>
      </c>
      <c r="AD58" s="104" t="s">
        <v>756</v>
      </c>
      <c r="AE58"/>
      <c r="AF58" s="30" t="str" cm="1">
        <f t="array" ref="AF58">_xlfn.IFS(COUNTIF(Table14623576[[#This Row],[PBT/ vPvB]],"*X*"), 20, TRUE, "")</f>
        <v/>
      </c>
      <c r="AG58" s="30" t="str" cm="1">
        <f t="array" ref="AG58">_xlfn.IFS(COUNTIF(Table14623576[[#This Row],[Perturbateur Endocrinien]],"*X*"), 20, TRUE, "")</f>
        <v/>
      </c>
      <c r="AH58" s="30" t="str" cm="1">
        <f t="array" ref="AH58">_xlfn.IFS(COUNTIF(Table14623576[[#This Row],[Phrases H]],"*H350*"), 20, TRUE, "")</f>
        <v/>
      </c>
      <c r="AI58" s="30" t="str" cm="1">
        <f t="array" ref="AI58">_xlfn.IFS(COUNTIF(Table14623576[[#This Row],[Phrases H]],"*H360*"), 20, TRUE, "")</f>
        <v/>
      </c>
      <c r="AJ58" s="30" t="str" cm="1">
        <f t="array" ref="AJ58">_xlfn.IFS(COUNTIF(Table14623576[[#This Row],[Phrases H]],"*H340*"), 20, TRUE, "")</f>
        <v/>
      </c>
      <c r="AK58" s="30" t="str" cm="1">
        <f t="array" ref="AK58">_xlfn.IFS(COUNTIF(Table14623576[[#This Row],[Phrases H]],"*H351*"), 10, TRUE, "")</f>
        <v/>
      </c>
      <c r="AL58" s="30" t="str" cm="1">
        <f t="array" ref="AL58">_xlfn.IFS(COUNTIF(Table14623576[[#This Row],[Phrases H]],"*H361*"), 10, TRUE, "")</f>
        <v/>
      </c>
      <c r="AM58" s="30" t="str" cm="1">
        <f t="array" ref="AM58">_xlfn.IFS(COUNTIF(Table14623576[[#This Row],[Phrases H]],"*H362*"), 10, TRUE, "")</f>
        <v/>
      </c>
      <c r="AN58" s="30" t="str" cm="1">
        <f t="array" ref="AN58">_xlfn.IFS(COUNTIF(Table14623576[[#This Row],[Phrases H]],"*H341*"), 10, TRUE, "")</f>
        <v/>
      </c>
      <c r="AO58" s="30" cm="1">
        <f t="array" ref="AO58">_xlfn.IFS(COUNTIF(Table14623576[[#This Row],[Phrases H]],"*H372*"), 10, TRUE, "")</f>
        <v>10</v>
      </c>
      <c r="AP58" s="30" t="str" cm="1">
        <f t="array" ref="AP58">_xlfn.IFS(COUNTIF(Table14623576[[#This Row],[Phrases H]],"*H410*"), 10, TRUE, "")</f>
        <v/>
      </c>
      <c r="AQ58" s="30" t="str" cm="1">
        <f t="array" ref="AQ58">_xlfn.IFS(COUNTIF(Table14623576[[#This Row],[Phrases H]],"*H373*"), 5, TRUE, "")</f>
        <v/>
      </c>
      <c r="AR58" s="30" t="str" cm="1">
        <f t="array" ref="AR58">_xlfn.IFS(COUNTIF(Table14623576[[#This Row],[Phrases H]],"*H411*"), 5, TRUE, "")</f>
        <v/>
      </c>
      <c r="AS58" s="112">
        <f t="shared" si="12"/>
        <v>10</v>
      </c>
      <c r="AT58" s="113" t="s">
        <v>88</v>
      </c>
      <c r="AU58" s="113">
        <v>44770</v>
      </c>
      <c r="AV58" s="114">
        <f t="shared" si="0"/>
        <v>40</v>
      </c>
      <c r="AW58" s="115">
        <f t="shared" si="39"/>
        <v>10</v>
      </c>
      <c r="AX58" s="116">
        <f t="shared" si="26"/>
        <v>20</v>
      </c>
      <c r="AY58" s="117">
        <f t="shared" si="27"/>
        <v>0.23529411764705882</v>
      </c>
      <c r="AZ58" s="118" t="str">
        <f t="shared" si="14"/>
        <v>4</v>
      </c>
      <c r="BA58" s="119" t="str">
        <f t="shared" si="28"/>
        <v>4</v>
      </c>
      <c r="BB58" s="32"/>
      <c r="BC58" s="113">
        <v>1</v>
      </c>
      <c r="BD58" s="113" t="s">
        <v>97</v>
      </c>
      <c r="BE58" s="120">
        <f t="shared" si="22"/>
        <v>5</v>
      </c>
      <c r="BF58" s="121" t="str">
        <f t="shared" si="16"/>
        <v>Très faible production</v>
      </c>
      <c r="BG58" s="122" t="str">
        <f t="shared" si="17"/>
        <v>E</v>
      </c>
      <c r="BH58" s="32"/>
      <c r="BI58" s="7"/>
      <c r="BJ58" s="5">
        <v>0</v>
      </c>
      <c r="BK58" s="7"/>
      <c r="BL58" s="131">
        <v>0</v>
      </c>
      <c r="BM58" s="132" t="s">
        <v>99</v>
      </c>
      <c r="BN58"/>
      <c r="BO58" s="60" t="str">
        <f t="shared" si="38"/>
        <v>Catégorie 4E NON</v>
      </c>
      <c r="BP58"/>
      <c r="BQ58" s="42" t="s">
        <v>88</v>
      </c>
      <c r="BR58"/>
      <c r="BS58" s="187" t="str">
        <f t="shared" si="29"/>
        <v/>
      </c>
      <c r="BT58" s="19" t="str">
        <f t="shared" si="30"/>
        <v/>
      </c>
      <c r="BU58" s="19" t="str">
        <f t="shared" si="31"/>
        <v/>
      </c>
      <c r="BV58" s="10"/>
      <c r="BW58" s="5" t="str">
        <f t="shared" si="32"/>
        <v>X</v>
      </c>
      <c r="BX58" s="5" t="str">
        <f t="shared" si="33"/>
        <v/>
      </c>
      <c r="BY58"/>
      <c r="BZ58" s="5" t="str">
        <f t="shared" si="34"/>
        <v/>
      </c>
      <c r="CA58" s="5" t="str">
        <f t="shared" si="35"/>
        <v/>
      </c>
      <c r="CB58" s="188" t="str">
        <f t="shared" si="36"/>
        <v/>
      </c>
    </row>
    <row r="59" spans="1:80" s="27" customFormat="1" ht="30" customHeight="1" x14ac:dyDescent="0.55000000000000004">
      <c r="A59" s="104">
        <v>55</v>
      </c>
      <c r="B59" s="104" t="s">
        <v>75</v>
      </c>
      <c r="C59" s="111" t="s">
        <v>757</v>
      </c>
      <c r="D59" s="104" t="s">
        <v>758</v>
      </c>
      <c r="E59" s="104" t="s">
        <v>759</v>
      </c>
      <c r="F59" s="104" t="s">
        <v>760</v>
      </c>
      <c r="G59" s="104" t="s">
        <v>761</v>
      </c>
      <c r="H59" s="104" t="s">
        <v>762</v>
      </c>
      <c r="I59" s="104" t="s">
        <v>512</v>
      </c>
      <c r="J59" s="104" t="s">
        <v>733</v>
      </c>
      <c r="K59" s="104" t="s">
        <v>644</v>
      </c>
      <c r="L59" s="104"/>
      <c r="M59" s="104"/>
      <c r="N59" s="104"/>
      <c r="O59" s="104" t="s">
        <v>85</v>
      </c>
      <c r="P59" s="104"/>
      <c r="Q59" s="102"/>
      <c r="R59" s="104"/>
      <c r="S59" s="104" t="s">
        <v>88</v>
      </c>
      <c r="T59" s="104"/>
      <c r="U59" s="104" t="s">
        <v>763</v>
      </c>
      <c r="V59" s="104" t="s">
        <v>122</v>
      </c>
      <c r="W59" s="104" t="s">
        <v>764</v>
      </c>
      <c r="X59" s="104" t="s">
        <v>110</v>
      </c>
      <c r="Y59" s="104" t="s">
        <v>93</v>
      </c>
      <c r="Z59" s="104" t="s">
        <v>765</v>
      </c>
      <c r="AA59" s="104">
        <v>22</v>
      </c>
      <c r="AB59" s="104" t="s">
        <v>93</v>
      </c>
      <c r="AC59" s="104" t="s">
        <v>93</v>
      </c>
      <c r="AD59" s="104" t="s">
        <v>766</v>
      </c>
      <c r="AE59"/>
      <c r="AF59" s="30" t="str" cm="1">
        <f t="array" ref="AF59">_xlfn.IFS(COUNTIF(Table14623576[[#This Row],[PBT/ vPvB]],"*X*"), 20, TRUE, "")</f>
        <v/>
      </c>
      <c r="AG59" s="30" t="str" cm="1">
        <f t="array" ref="AG59">_xlfn.IFS(COUNTIF(Table14623576[[#This Row],[Perturbateur Endocrinien]],"*X*"), 20, TRUE, "")</f>
        <v/>
      </c>
      <c r="AH59" s="30" t="str" cm="1">
        <f t="array" ref="AH59">_xlfn.IFS(COUNTIF(Table14623576[[#This Row],[Phrases H]],"*H350*"), 20, TRUE, "")</f>
        <v/>
      </c>
      <c r="AI59" s="30" cm="1">
        <f t="array" ref="AI59">_xlfn.IFS(COUNTIF(Table14623576[[#This Row],[Phrases H]],"*H360*"), 20, TRUE, "")</f>
        <v>20</v>
      </c>
      <c r="AJ59" s="30" t="str" cm="1">
        <f t="array" ref="AJ59">_xlfn.IFS(COUNTIF(Table14623576[[#This Row],[Phrases H]],"*H340*"), 20, TRUE, "")</f>
        <v/>
      </c>
      <c r="AK59" s="30" t="str" cm="1">
        <f t="array" ref="AK59">_xlfn.IFS(COUNTIF(Table14623576[[#This Row],[Phrases H]],"*H351*"), 10, TRUE, "")</f>
        <v/>
      </c>
      <c r="AL59" s="30" t="str" cm="1">
        <f t="array" ref="AL59">_xlfn.IFS(COUNTIF(Table14623576[[#This Row],[Phrases H]],"*H361*"), 10, TRUE, "")</f>
        <v/>
      </c>
      <c r="AM59" s="30" t="str" cm="1">
        <f t="array" ref="AM59">_xlfn.IFS(COUNTIF(Table14623576[[#This Row],[Phrases H]],"*H362*"), 10, TRUE, "")</f>
        <v/>
      </c>
      <c r="AN59" s="30" t="str" cm="1">
        <f t="array" ref="AN59">_xlfn.IFS(COUNTIF(Table14623576[[#This Row],[Phrases H]],"*H341*"), 10, TRUE, "")</f>
        <v/>
      </c>
      <c r="AO59" s="30" t="str" cm="1">
        <f t="array" ref="AO59">_xlfn.IFS(COUNTIF(Table14623576[[#This Row],[Phrases H]],"*H372*"), 10, TRUE, "")</f>
        <v/>
      </c>
      <c r="AP59" s="30" t="str" cm="1">
        <f t="array" ref="AP59">_xlfn.IFS(COUNTIF(Table14623576[[#This Row],[Phrases H]],"*H410*"), 10, TRUE, "")</f>
        <v/>
      </c>
      <c r="AQ59" s="30" t="str" cm="1">
        <f t="array" ref="AQ59">_xlfn.IFS(COUNTIF(Table14623576[[#This Row],[Phrases H]],"*H373*"), 5, TRUE, "")</f>
        <v/>
      </c>
      <c r="AR59" s="30" t="str" cm="1">
        <f t="array" ref="AR59">_xlfn.IFS(COUNTIF(Table14623576[[#This Row],[Phrases H]],"*H411*"), 5, TRUE, "")</f>
        <v/>
      </c>
      <c r="AS59" s="112">
        <f t="shared" si="12"/>
        <v>20</v>
      </c>
      <c r="AT59" s="113" t="s">
        <v>88</v>
      </c>
      <c r="AU59" s="113">
        <v>48800</v>
      </c>
      <c r="AV59" s="114">
        <f t="shared" si="0"/>
        <v>40</v>
      </c>
      <c r="AW59" s="115">
        <f t="shared" si="39"/>
        <v>10</v>
      </c>
      <c r="AX59" s="116">
        <f t="shared" si="26"/>
        <v>30</v>
      </c>
      <c r="AY59" s="117">
        <f t="shared" si="27"/>
        <v>0.35294117647058826</v>
      </c>
      <c r="AZ59" s="118" t="str">
        <f t="shared" si="14"/>
        <v>4</v>
      </c>
      <c r="BA59" s="119" t="str">
        <f t="shared" si="28"/>
        <v>4</v>
      </c>
      <c r="BB59" s="32"/>
      <c r="BC59" s="113">
        <v>1000000</v>
      </c>
      <c r="BD59" s="113" t="s">
        <v>97</v>
      </c>
      <c r="BE59" s="120">
        <f t="shared" si="22"/>
        <v>25</v>
      </c>
      <c r="BF59" s="121" t="str">
        <f t="shared" si="16"/>
        <v>Production très élevée</v>
      </c>
      <c r="BG59" s="122" t="str">
        <f t="shared" si="17"/>
        <v>A</v>
      </c>
      <c r="BH59" s="32"/>
      <c r="BI59" s="7"/>
      <c r="BJ59" s="5">
        <v>0</v>
      </c>
      <c r="BK59" s="7"/>
      <c r="BL59" s="131">
        <v>0</v>
      </c>
      <c r="BM59" s="132" t="s">
        <v>99</v>
      </c>
      <c r="BN59"/>
      <c r="BO59" s="60" t="str">
        <f t="shared" si="38"/>
        <v>Catégorie 4A NON</v>
      </c>
      <c r="BP59"/>
      <c r="BQ59" s="42" t="s">
        <v>88</v>
      </c>
      <c r="BR59"/>
      <c r="BS59" s="187" t="str">
        <f t="shared" si="29"/>
        <v/>
      </c>
      <c r="BT59" s="19" t="str">
        <f t="shared" si="30"/>
        <v/>
      </c>
      <c r="BU59" s="19" t="str">
        <f t="shared" si="31"/>
        <v/>
      </c>
      <c r="BV59" s="10"/>
      <c r="BW59" s="5" t="str">
        <f t="shared" si="32"/>
        <v/>
      </c>
      <c r="BX59" s="5" t="str">
        <f t="shared" si="33"/>
        <v/>
      </c>
      <c r="BY59"/>
      <c r="BZ59" s="5" t="str">
        <f t="shared" si="34"/>
        <v/>
      </c>
      <c r="CA59" s="5" t="str">
        <f t="shared" si="35"/>
        <v/>
      </c>
      <c r="CB59" s="188" t="str">
        <f t="shared" si="36"/>
        <v/>
      </c>
    </row>
    <row r="60" spans="1:80" s="27" customFormat="1" ht="30" customHeight="1" x14ac:dyDescent="0.55000000000000004">
      <c r="A60" s="104">
        <v>56</v>
      </c>
      <c r="B60" s="104" t="s">
        <v>75</v>
      </c>
      <c r="C60" s="111" t="s">
        <v>767</v>
      </c>
      <c r="D60" s="104" t="s">
        <v>768</v>
      </c>
      <c r="E60" s="104" t="s">
        <v>769</v>
      </c>
      <c r="F60" s="104" t="s">
        <v>770</v>
      </c>
      <c r="G60" s="104" t="s">
        <v>771</v>
      </c>
      <c r="H60" s="104" t="s">
        <v>772</v>
      </c>
      <c r="I60" s="104" t="s">
        <v>512</v>
      </c>
      <c r="J60" s="104"/>
      <c r="K60" s="104" t="s">
        <v>292</v>
      </c>
      <c r="L60" s="104"/>
      <c r="M60" s="104"/>
      <c r="N60" s="104"/>
      <c r="O60" s="104"/>
      <c r="P60" s="104"/>
      <c r="Q60" s="102"/>
      <c r="R60" s="104"/>
      <c r="S60" s="104" t="s">
        <v>88</v>
      </c>
      <c r="T60" s="104"/>
      <c r="U60" s="104" t="s">
        <v>773</v>
      </c>
      <c r="V60" s="104" t="s">
        <v>88</v>
      </c>
      <c r="W60" s="104" t="s">
        <v>774</v>
      </c>
      <c r="X60" s="104" t="s">
        <v>88</v>
      </c>
      <c r="Y60" s="104" t="s">
        <v>88</v>
      </c>
      <c r="Z60" s="104" t="s">
        <v>88</v>
      </c>
      <c r="AA60" s="104" t="s">
        <v>88</v>
      </c>
      <c r="AB60" s="104" t="s">
        <v>93</v>
      </c>
      <c r="AC60" s="104" t="s">
        <v>93</v>
      </c>
      <c r="AD60" s="104" t="s">
        <v>93</v>
      </c>
      <c r="AE60"/>
      <c r="AF60" s="30" t="str" cm="1">
        <f t="array" ref="AF60">_xlfn.IFS(COUNTIF(Table14623576[[#This Row],[PBT/ vPvB]],"*X*"), 20, TRUE, "")</f>
        <v/>
      </c>
      <c r="AG60" s="30" t="str" cm="1">
        <f t="array" ref="AG60">_xlfn.IFS(COUNTIF(Table14623576[[#This Row],[Perturbateur Endocrinien]],"*X*"), 20, TRUE, "")</f>
        <v/>
      </c>
      <c r="AH60" s="30" t="str" cm="1">
        <f t="array" ref="AH60">_xlfn.IFS(COUNTIF(Table14623576[[#This Row],[Phrases H]],"*H350*"), 20, TRUE, "")</f>
        <v/>
      </c>
      <c r="AI60" s="30" t="str" cm="1">
        <f t="array" ref="AI60">_xlfn.IFS(COUNTIF(Table14623576[[#This Row],[Phrases H]],"*H360*"), 20, TRUE, "")</f>
        <v/>
      </c>
      <c r="AJ60" s="30" t="str" cm="1">
        <f t="array" ref="AJ60">_xlfn.IFS(COUNTIF(Table14623576[[#This Row],[Phrases H]],"*H340*"), 20, TRUE, "")</f>
        <v/>
      </c>
      <c r="AK60" s="30" t="str" cm="1">
        <f t="array" ref="AK60">_xlfn.IFS(COUNTIF(Table14623576[[#This Row],[Phrases H]],"*H351*"), 10, TRUE, "")</f>
        <v/>
      </c>
      <c r="AL60" s="30" cm="1">
        <f t="array" ref="AL60">_xlfn.IFS(COUNTIF(Table14623576[[#This Row],[Phrases H]],"*H361*"), 10, TRUE, "")</f>
        <v>10</v>
      </c>
      <c r="AM60" s="30" t="str" cm="1">
        <f t="array" ref="AM60">_xlfn.IFS(COUNTIF(Table14623576[[#This Row],[Phrases H]],"*H362*"), 10, TRUE, "")</f>
        <v/>
      </c>
      <c r="AN60" s="30" t="str" cm="1">
        <f t="array" ref="AN60">_xlfn.IFS(COUNTIF(Table14623576[[#This Row],[Phrases H]],"*H341*"), 10, TRUE, "")</f>
        <v/>
      </c>
      <c r="AO60" s="30" t="str" cm="1">
        <f t="array" ref="AO60">_xlfn.IFS(COUNTIF(Table14623576[[#This Row],[Phrases H]],"*H372*"), 10, TRUE, "")</f>
        <v/>
      </c>
      <c r="AP60" s="30" t="str" cm="1">
        <f t="array" ref="AP60">_xlfn.IFS(COUNTIF(Table14623576[[#This Row],[Phrases H]],"*H410*"), 10, TRUE, "")</f>
        <v/>
      </c>
      <c r="AQ60" s="30" t="str" cm="1">
        <f t="array" ref="AQ60">_xlfn.IFS(COUNTIF(Table14623576[[#This Row],[Phrases H]],"*H373*"), 5, TRUE, "")</f>
        <v/>
      </c>
      <c r="AR60" s="30" cm="1">
        <f t="array" ref="AR60">_xlfn.IFS(COUNTIF(Table14623576[[#This Row],[Phrases H]],"*H411*"), 5, TRUE, "")</f>
        <v>5</v>
      </c>
      <c r="AS60" s="112">
        <f t="shared" si="12"/>
        <v>15</v>
      </c>
      <c r="AT60" s="113" t="s">
        <v>88</v>
      </c>
      <c r="AU60" s="113">
        <f>25</f>
        <v>25</v>
      </c>
      <c r="AV60" s="114">
        <f t="shared" si="0"/>
        <v>30</v>
      </c>
      <c r="AW60" s="115">
        <f t="shared" si="39"/>
        <v>10</v>
      </c>
      <c r="AX60" s="116">
        <f t="shared" si="26"/>
        <v>25</v>
      </c>
      <c r="AY60" s="117">
        <f t="shared" si="27"/>
        <v>0.29411764705882354</v>
      </c>
      <c r="AZ60" s="118" t="str">
        <f t="shared" si="14"/>
        <v>4</v>
      </c>
      <c r="BA60" s="119" t="str">
        <f t="shared" si="28"/>
        <v>4</v>
      </c>
      <c r="BB60" s="32"/>
      <c r="BC60" s="113">
        <v>10000</v>
      </c>
      <c r="BD60" s="113" t="s">
        <v>97</v>
      </c>
      <c r="BE60" s="120">
        <f t="shared" si="22"/>
        <v>20</v>
      </c>
      <c r="BF60" s="121" t="str">
        <f t="shared" si="16"/>
        <v>Production élevée</v>
      </c>
      <c r="BG60" s="122" t="str">
        <f t="shared" si="17"/>
        <v>B</v>
      </c>
      <c r="BH60" s="32"/>
      <c r="BI60" s="7"/>
      <c r="BJ60" s="5">
        <v>0</v>
      </c>
      <c r="BK60" s="7"/>
      <c r="BL60" s="131">
        <v>0</v>
      </c>
      <c r="BM60" s="132" t="s">
        <v>99</v>
      </c>
      <c r="BN60"/>
      <c r="BO60" s="60" t="str">
        <f t="shared" si="38"/>
        <v>Catégorie 4B NON</v>
      </c>
      <c r="BP60"/>
      <c r="BQ60" s="42" t="s">
        <v>88</v>
      </c>
      <c r="BR60"/>
      <c r="BS60" s="187" t="str">
        <f t="shared" si="29"/>
        <v/>
      </c>
      <c r="BT60" s="19" t="str">
        <f t="shared" si="30"/>
        <v/>
      </c>
      <c r="BU60" s="19" t="str">
        <f t="shared" si="31"/>
        <v/>
      </c>
      <c r="BV60" s="10"/>
      <c r="BW60" s="5" t="str">
        <f t="shared" si="32"/>
        <v/>
      </c>
      <c r="BX60" s="5" t="str">
        <f t="shared" si="33"/>
        <v/>
      </c>
      <c r="BY60"/>
      <c r="BZ60" s="5" t="str">
        <f t="shared" si="34"/>
        <v/>
      </c>
      <c r="CA60" s="5" t="str">
        <f t="shared" si="35"/>
        <v/>
      </c>
      <c r="CB60" s="188" t="str">
        <f t="shared" si="36"/>
        <v/>
      </c>
    </row>
    <row r="61" spans="1:80" s="27" customFormat="1" ht="30" customHeight="1" x14ac:dyDescent="0.55000000000000004">
      <c r="A61" s="104">
        <v>57</v>
      </c>
      <c r="B61" s="104" t="s">
        <v>75</v>
      </c>
      <c r="C61" s="111" t="s">
        <v>775</v>
      </c>
      <c r="D61" s="104" t="s">
        <v>77</v>
      </c>
      <c r="E61" s="104" t="s">
        <v>776</v>
      </c>
      <c r="F61" s="104" t="s">
        <v>777</v>
      </c>
      <c r="G61" s="104" t="s">
        <v>778</v>
      </c>
      <c r="H61" s="104" t="s">
        <v>779</v>
      </c>
      <c r="I61" s="104" t="s">
        <v>512</v>
      </c>
      <c r="J61" s="104" t="s">
        <v>733</v>
      </c>
      <c r="K61" s="104" t="s">
        <v>84</v>
      </c>
      <c r="L61" s="104"/>
      <c r="M61" s="104"/>
      <c r="N61" s="104"/>
      <c r="O61" s="104"/>
      <c r="P61" s="104"/>
      <c r="Q61" s="102"/>
      <c r="R61" s="104"/>
      <c r="S61" s="104" t="s">
        <v>88</v>
      </c>
      <c r="T61" s="104"/>
      <c r="U61" s="104" t="s">
        <v>780</v>
      </c>
      <c r="V61" s="104" t="s">
        <v>88</v>
      </c>
      <c r="W61" s="104" t="s">
        <v>781</v>
      </c>
      <c r="X61" s="104" t="s">
        <v>88</v>
      </c>
      <c r="Y61" s="104" t="s">
        <v>88</v>
      </c>
      <c r="Z61" s="104" t="s">
        <v>88</v>
      </c>
      <c r="AA61" s="104" t="s">
        <v>88</v>
      </c>
      <c r="AB61" s="104" t="s">
        <v>88</v>
      </c>
      <c r="AC61" s="104" t="s">
        <v>88</v>
      </c>
      <c r="AD61" s="104" t="s">
        <v>93</v>
      </c>
      <c r="AE61"/>
      <c r="AF61" s="30" t="str" cm="1">
        <f t="array" ref="AF61">_xlfn.IFS(COUNTIF(Table14623576[[#This Row],[PBT/ vPvB]],"*X*"), 20, TRUE, "")</f>
        <v/>
      </c>
      <c r="AG61" s="30" t="str" cm="1">
        <f t="array" ref="AG61">_xlfn.IFS(COUNTIF(Table14623576[[#This Row],[Perturbateur Endocrinien]],"*X*"), 20, TRUE, "")</f>
        <v/>
      </c>
      <c r="AH61" s="30" t="str" cm="1">
        <f t="array" ref="AH61">_xlfn.IFS(COUNTIF(Table14623576[[#This Row],[Phrases H]],"*H350*"), 20, TRUE, "")</f>
        <v/>
      </c>
      <c r="AI61" s="30" cm="1">
        <f t="array" ref="AI61">_xlfn.IFS(COUNTIF(Table14623576[[#This Row],[Phrases H]],"*H360*"), 20, TRUE, "")</f>
        <v>20</v>
      </c>
      <c r="AJ61" s="30" t="str" cm="1">
        <f t="array" ref="AJ61">_xlfn.IFS(COUNTIF(Table14623576[[#This Row],[Phrases H]],"*H340*"), 20, TRUE, "")</f>
        <v/>
      </c>
      <c r="AK61" s="30" t="str" cm="1">
        <f t="array" ref="AK61">_xlfn.IFS(COUNTIF(Table14623576[[#This Row],[Phrases H]],"*H351*"), 10, TRUE, "")</f>
        <v/>
      </c>
      <c r="AL61" s="30" t="str" cm="1">
        <f t="array" ref="AL61">_xlfn.IFS(COUNTIF(Table14623576[[#This Row],[Phrases H]],"*H361*"), 10, TRUE, "")</f>
        <v/>
      </c>
      <c r="AM61" s="30" t="str" cm="1">
        <f t="array" ref="AM61">_xlfn.IFS(COUNTIF(Table14623576[[#This Row],[Phrases H]],"*H362*"), 10, TRUE, "")</f>
        <v/>
      </c>
      <c r="AN61" s="30" t="str" cm="1">
        <f t="array" ref="AN61">_xlfn.IFS(COUNTIF(Table14623576[[#This Row],[Phrases H]],"*H341*"), 10, TRUE, "")</f>
        <v/>
      </c>
      <c r="AO61" s="30" t="str" cm="1">
        <f t="array" ref="AO61">_xlfn.IFS(COUNTIF(Table14623576[[#This Row],[Phrases H]],"*H372*"), 10, TRUE, "")</f>
        <v/>
      </c>
      <c r="AP61" s="30" t="str" cm="1">
        <f t="array" ref="AP61">_xlfn.IFS(COUNTIF(Table14623576[[#This Row],[Phrases H]],"*H410*"), 10, TRUE, "")</f>
        <v/>
      </c>
      <c r="AQ61" s="30" t="str" cm="1">
        <f t="array" ref="AQ61">_xlfn.IFS(COUNTIF(Table14623576[[#This Row],[Phrases H]],"*H373*"), 5, TRUE, "")</f>
        <v/>
      </c>
      <c r="AR61" s="30" t="str" cm="1">
        <f t="array" ref="AR61">_xlfn.IFS(COUNTIF(Table14623576[[#This Row],[Phrases H]],"*H411*"), 5, TRUE, "")</f>
        <v/>
      </c>
      <c r="AS61" s="112">
        <f t="shared" si="12"/>
        <v>20</v>
      </c>
      <c r="AT61" s="113" t="s">
        <v>88</v>
      </c>
      <c r="AU61" s="113">
        <v>143</v>
      </c>
      <c r="AV61" s="114">
        <f t="shared" si="0"/>
        <v>30</v>
      </c>
      <c r="AW61" s="115">
        <f t="shared" si="39"/>
        <v>10</v>
      </c>
      <c r="AX61" s="116">
        <f t="shared" si="26"/>
        <v>30</v>
      </c>
      <c r="AY61" s="117">
        <f t="shared" si="27"/>
        <v>0.35294117647058826</v>
      </c>
      <c r="AZ61" s="118" t="str">
        <f t="shared" si="14"/>
        <v>4</v>
      </c>
      <c r="BA61" s="119" t="str">
        <f t="shared" si="28"/>
        <v>4</v>
      </c>
      <c r="BB61" s="32"/>
      <c r="BC61" s="113">
        <v>1000</v>
      </c>
      <c r="BD61" s="113" t="s">
        <v>97</v>
      </c>
      <c r="BE61" s="120">
        <f t="shared" si="22"/>
        <v>15</v>
      </c>
      <c r="BF61" s="121" t="str">
        <f t="shared" si="16"/>
        <v>Production modérée</v>
      </c>
      <c r="BG61" s="122" t="str">
        <f t="shared" si="17"/>
        <v>C</v>
      </c>
      <c r="BH61" s="32"/>
      <c r="BI61" s="7"/>
      <c r="BJ61" s="5">
        <v>0</v>
      </c>
      <c r="BK61" s="7"/>
      <c r="BL61" s="131">
        <v>0</v>
      </c>
      <c r="BM61" s="132" t="s">
        <v>99</v>
      </c>
      <c r="BN61"/>
      <c r="BO61" s="60" t="str">
        <f t="shared" si="38"/>
        <v>Catégorie 4C NON</v>
      </c>
      <c r="BP61"/>
      <c r="BQ61" s="42" t="s">
        <v>88</v>
      </c>
      <c r="BR61"/>
      <c r="BS61" s="187" t="str">
        <f t="shared" si="29"/>
        <v/>
      </c>
      <c r="BT61" s="19" t="str">
        <f t="shared" si="30"/>
        <v/>
      </c>
      <c r="BU61" s="19" t="str">
        <f t="shared" si="31"/>
        <v/>
      </c>
      <c r="BV61" s="10"/>
      <c r="BW61" s="5" t="str">
        <f t="shared" si="32"/>
        <v/>
      </c>
      <c r="BX61" s="5" t="str">
        <f t="shared" si="33"/>
        <v/>
      </c>
      <c r="BY61"/>
      <c r="BZ61" s="5" t="str">
        <f t="shared" si="34"/>
        <v/>
      </c>
      <c r="CA61" s="5" t="str">
        <f t="shared" si="35"/>
        <v/>
      </c>
      <c r="CB61" s="188" t="str">
        <f t="shared" si="36"/>
        <v/>
      </c>
    </row>
    <row r="62" spans="1:80" s="27" customFormat="1" ht="30" customHeight="1" x14ac:dyDescent="0.55000000000000004">
      <c r="A62" s="104">
        <v>58</v>
      </c>
      <c r="B62" s="104" t="s">
        <v>75</v>
      </c>
      <c r="C62" s="111" t="s">
        <v>782</v>
      </c>
      <c r="D62" s="104" t="s">
        <v>783</v>
      </c>
      <c r="E62" s="104" t="s">
        <v>784</v>
      </c>
      <c r="F62" s="104" t="s">
        <v>785</v>
      </c>
      <c r="G62" s="104" t="s">
        <v>786</v>
      </c>
      <c r="H62" s="104" t="s">
        <v>787</v>
      </c>
      <c r="I62" s="104" t="s">
        <v>512</v>
      </c>
      <c r="J62" s="104"/>
      <c r="K62" s="104" t="s">
        <v>788</v>
      </c>
      <c r="L62" s="104"/>
      <c r="M62" s="104"/>
      <c r="N62" s="104"/>
      <c r="O62" s="104"/>
      <c r="P62" s="104"/>
      <c r="Q62" s="102"/>
      <c r="R62" s="104"/>
      <c r="S62" s="104" t="s">
        <v>88</v>
      </c>
      <c r="T62" s="104"/>
      <c r="U62" s="104" t="s">
        <v>58</v>
      </c>
      <c r="V62" s="104" t="s">
        <v>173</v>
      </c>
      <c r="W62" s="104" t="s">
        <v>789</v>
      </c>
      <c r="X62" s="104" t="s">
        <v>88</v>
      </c>
      <c r="Y62" s="104" t="s">
        <v>88</v>
      </c>
      <c r="Z62" s="104" t="s">
        <v>88</v>
      </c>
      <c r="AA62" s="104" t="s">
        <v>88</v>
      </c>
      <c r="AB62" s="104" t="s">
        <v>88</v>
      </c>
      <c r="AC62" s="104" t="s">
        <v>88</v>
      </c>
      <c r="AD62" s="104" t="s">
        <v>790</v>
      </c>
      <c r="AE62"/>
      <c r="AF62" s="30" t="str" cm="1">
        <f t="array" ref="AF62">_xlfn.IFS(COUNTIF(Table14623576[[#This Row],[PBT/ vPvB]],"*X*"), 20, TRUE, "")</f>
        <v/>
      </c>
      <c r="AG62" s="30" t="str" cm="1">
        <f t="array" ref="AG62">_xlfn.IFS(COUNTIF(Table14623576[[#This Row],[Perturbateur Endocrinien]],"*X*"), 20, TRUE, "")</f>
        <v/>
      </c>
      <c r="AH62" s="30" t="str" cm="1">
        <f t="array" ref="AH62">_xlfn.IFS(COUNTIF(Table14623576[[#This Row],[Phrases H]],"*H350*"), 20, TRUE, "")</f>
        <v/>
      </c>
      <c r="AI62" s="30" t="str" cm="1">
        <f t="array" ref="AI62">_xlfn.IFS(COUNTIF(Table14623576[[#This Row],[Phrases H]],"*H360*"), 20, TRUE, "")</f>
        <v/>
      </c>
      <c r="AJ62" s="30" t="str" cm="1">
        <f t="array" ref="AJ62">_xlfn.IFS(COUNTIF(Table14623576[[#This Row],[Phrases H]],"*H340*"), 20, TRUE, "")</f>
        <v/>
      </c>
      <c r="AK62" s="30" cm="1">
        <f t="array" ref="AK62">_xlfn.IFS(COUNTIF(Table14623576[[#This Row],[Phrases H]],"*H351*"), 10, TRUE, "")</f>
        <v>10</v>
      </c>
      <c r="AL62" s="30" t="str" cm="1">
        <f t="array" ref="AL62">_xlfn.IFS(COUNTIF(Table14623576[[#This Row],[Phrases H]],"*H361*"), 10, TRUE, "")</f>
        <v/>
      </c>
      <c r="AM62" s="30" t="str" cm="1">
        <f t="array" ref="AM62">_xlfn.IFS(COUNTIF(Table14623576[[#This Row],[Phrases H]],"*H362*"), 10, TRUE, "")</f>
        <v/>
      </c>
      <c r="AN62" s="30" t="str" cm="1">
        <f t="array" ref="AN62">_xlfn.IFS(COUNTIF(Table14623576[[#This Row],[Phrases H]],"*H341*"), 10, TRUE, "")</f>
        <v/>
      </c>
      <c r="AO62" s="30" t="str" cm="1">
        <f t="array" ref="AO62">_xlfn.IFS(COUNTIF(Table14623576[[#This Row],[Phrases H]],"*H372*"), 10, TRUE, "")</f>
        <v/>
      </c>
      <c r="AP62" s="30" t="str" cm="1">
        <f t="array" ref="AP62">_xlfn.IFS(COUNTIF(Table14623576[[#This Row],[Phrases H]],"*H410*"), 10, TRUE, "")</f>
        <v/>
      </c>
      <c r="AQ62" s="30" t="str" cm="1">
        <f t="array" ref="AQ62">_xlfn.IFS(COUNTIF(Table14623576[[#This Row],[Phrases H]],"*H373*"), 5, TRUE, "")</f>
        <v/>
      </c>
      <c r="AR62" s="30" t="str" cm="1">
        <f t="array" ref="AR62">_xlfn.IFS(COUNTIF(Table14623576[[#This Row],[Phrases H]],"*H411*"), 5, TRUE, "")</f>
        <v/>
      </c>
      <c r="AS62" s="112">
        <f t="shared" si="12"/>
        <v>10</v>
      </c>
      <c r="AT62" s="113" t="s">
        <v>88</v>
      </c>
      <c r="AU62" s="113">
        <v>1510</v>
      </c>
      <c r="AV62" s="114">
        <f t="shared" si="0"/>
        <v>40</v>
      </c>
      <c r="AW62" s="115">
        <f t="shared" si="39"/>
        <v>10</v>
      </c>
      <c r="AX62" s="116">
        <f t="shared" si="26"/>
        <v>20</v>
      </c>
      <c r="AY62" s="117">
        <f t="shared" si="27"/>
        <v>0.23529411764705882</v>
      </c>
      <c r="AZ62" s="118" t="str">
        <f t="shared" si="14"/>
        <v>4</v>
      </c>
      <c r="BA62" s="119" t="str">
        <f t="shared" si="28"/>
        <v>4</v>
      </c>
      <c r="BB62" s="32"/>
      <c r="BC62" s="113">
        <v>1000000</v>
      </c>
      <c r="BD62" s="113" t="s">
        <v>97</v>
      </c>
      <c r="BE62" s="120">
        <f t="shared" si="22"/>
        <v>25</v>
      </c>
      <c r="BF62" s="121" t="str">
        <f t="shared" si="16"/>
        <v>Production très élevée</v>
      </c>
      <c r="BG62" s="122" t="str">
        <f t="shared" si="17"/>
        <v>A</v>
      </c>
      <c r="BH62" s="32"/>
      <c r="BI62" s="7"/>
      <c r="BJ62" s="5">
        <v>0</v>
      </c>
      <c r="BK62" s="7"/>
      <c r="BL62" s="131">
        <v>0</v>
      </c>
      <c r="BM62" s="132" t="s">
        <v>99</v>
      </c>
      <c r="BN62"/>
      <c r="BO62" s="60" t="str">
        <f t="shared" si="38"/>
        <v>Catégorie 4A NON</v>
      </c>
      <c r="BP62"/>
      <c r="BQ62" s="42" t="s">
        <v>88</v>
      </c>
      <c r="BR62"/>
      <c r="BS62" s="187" t="str">
        <f t="shared" si="29"/>
        <v/>
      </c>
      <c r="BT62" s="19" t="str">
        <f t="shared" si="30"/>
        <v/>
      </c>
      <c r="BU62" s="19" t="str">
        <f t="shared" si="31"/>
        <v/>
      </c>
      <c r="BV62" s="10"/>
      <c r="BW62" s="5" t="str">
        <f t="shared" si="32"/>
        <v/>
      </c>
      <c r="BX62" s="5" t="str">
        <f t="shared" si="33"/>
        <v/>
      </c>
      <c r="BY62"/>
      <c r="BZ62" s="5" t="str">
        <f t="shared" si="34"/>
        <v/>
      </c>
      <c r="CA62" s="5" t="str">
        <f t="shared" si="35"/>
        <v/>
      </c>
      <c r="CB62" s="188" t="str">
        <f t="shared" si="36"/>
        <v/>
      </c>
    </row>
    <row r="63" spans="1:80" s="27" customFormat="1" ht="30" customHeight="1" x14ac:dyDescent="0.55000000000000004">
      <c r="A63" s="104">
        <v>59</v>
      </c>
      <c r="B63" s="104" t="s">
        <v>75</v>
      </c>
      <c r="C63" s="111" t="s">
        <v>791</v>
      </c>
      <c r="D63" s="104" t="s">
        <v>77</v>
      </c>
      <c r="E63" s="104" t="s">
        <v>792</v>
      </c>
      <c r="F63" s="104" t="s">
        <v>793</v>
      </c>
      <c r="G63" s="104" t="s">
        <v>794</v>
      </c>
      <c r="H63" s="104" t="s">
        <v>795</v>
      </c>
      <c r="I63" s="104" t="s">
        <v>605</v>
      </c>
      <c r="J63" s="104"/>
      <c r="K63" s="104" t="s">
        <v>186</v>
      </c>
      <c r="L63" s="104"/>
      <c r="M63" s="104"/>
      <c r="N63" s="104"/>
      <c r="O63" s="104"/>
      <c r="P63" s="104"/>
      <c r="Q63" s="102"/>
      <c r="R63" s="104"/>
      <c r="S63" s="104" t="s">
        <v>86</v>
      </c>
      <c r="T63" s="104"/>
      <c r="U63" s="104" t="s">
        <v>796</v>
      </c>
      <c r="V63" s="104" t="s">
        <v>173</v>
      </c>
      <c r="W63" s="104" t="s">
        <v>797</v>
      </c>
      <c r="X63" s="104" t="s">
        <v>798</v>
      </c>
      <c r="Y63" s="104" t="s">
        <v>799</v>
      </c>
      <c r="Z63" s="104" t="s">
        <v>800</v>
      </c>
      <c r="AA63" s="104">
        <v>20</v>
      </c>
      <c r="AB63" s="128">
        <f>LOG(40.7)</f>
        <v>1.6095944092252201</v>
      </c>
      <c r="AC63" s="104" t="s">
        <v>801</v>
      </c>
      <c r="AD63" s="104" t="s">
        <v>802</v>
      </c>
      <c r="AE63"/>
      <c r="AF63" s="30" t="str" cm="1">
        <f t="array" ref="AF63">_xlfn.IFS(COUNTIF(Table14623576[[#This Row],[PBT/ vPvB]],"*X*"), 20, TRUE, "")</f>
        <v/>
      </c>
      <c r="AG63" s="30" t="str" cm="1">
        <f t="array" ref="AG63">_xlfn.IFS(COUNTIF(Table14623576[[#This Row],[Perturbateur Endocrinien]],"*X*"), 20, TRUE, "")</f>
        <v/>
      </c>
      <c r="AH63" s="30" t="str" cm="1">
        <f t="array" ref="AH63">_xlfn.IFS(COUNTIF(Table14623576[[#This Row],[Phrases H]],"*H350*"), 20, TRUE, "")</f>
        <v/>
      </c>
      <c r="AI63" s="30" t="str" cm="1">
        <f t="array" ref="AI63">_xlfn.IFS(COUNTIF(Table14623576[[#This Row],[Phrases H]],"*H360*"), 20, TRUE, "")</f>
        <v/>
      </c>
      <c r="AJ63" s="30" t="str" cm="1">
        <f t="array" ref="AJ63">_xlfn.IFS(COUNTIF(Table14623576[[#This Row],[Phrases H]],"*H340*"), 20, TRUE, "")</f>
        <v/>
      </c>
      <c r="AK63" s="30" cm="1">
        <f t="array" ref="AK63">_xlfn.IFS(COUNTIF(Table14623576[[#This Row],[Phrases H]],"*H351*"), 10, TRUE, "")</f>
        <v>10</v>
      </c>
      <c r="AL63" s="30" cm="1">
        <f t="array" ref="AL63">_xlfn.IFS(COUNTIF(Table14623576[[#This Row],[Phrases H]],"*H361*"), 10, TRUE, "")</f>
        <v>10</v>
      </c>
      <c r="AM63" s="30" t="str" cm="1">
        <f t="array" ref="AM63">_xlfn.IFS(COUNTIF(Table14623576[[#This Row],[Phrases H]],"*H362*"), 10, TRUE, "")</f>
        <v/>
      </c>
      <c r="AN63" s="30" t="str" cm="1">
        <f t="array" ref="AN63">_xlfn.IFS(COUNTIF(Table14623576[[#This Row],[Phrases H]],"*H341*"), 10, TRUE, "")</f>
        <v/>
      </c>
      <c r="AO63" s="30" t="str" cm="1">
        <f t="array" ref="AO63">_xlfn.IFS(COUNTIF(Table14623576[[#This Row],[Phrases H]],"*H372*"), 10, TRUE, "")</f>
        <v/>
      </c>
      <c r="AP63" s="30" t="str" cm="1">
        <f t="array" ref="AP63">_xlfn.IFS(COUNTIF(Table14623576[[#This Row],[Phrases H]],"*H410*"), 10, TRUE, "")</f>
        <v/>
      </c>
      <c r="AQ63" s="30" cm="1">
        <f t="array" ref="AQ63">_xlfn.IFS(COUNTIF(Table14623576[[#This Row],[Phrases H]],"*H373*"), 5, TRUE, "")</f>
        <v>5</v>
      </c>
      <c r="AR63" s="30" t="str" cm="1">
        <f t="array" ref="AR63">_xlfn.IFS(COUNTIF(Table14623576[[#This Row],[Phrases H]],"*H411*"), 5, TRUE, "")</f>
        <v/>
      </c>
      <c r="AS63" s="112">
        <f t="shared" si="12"/>
        <v>25</v>
      </c>
      <c r="AT63" s="129">
        <f>LOG(40.7)</f>
        <v>1.6095944092252201</v>
      </c>
      <c r="AU63" s="113">
        <f>AVERAGE(233.1,385.6)</f>
        <v>309.35000000000002</v>
      </c>
      <c r="AV63" s="114">
        <f t="shared" si="0"/>
        <v>30</v>
      </c>
      <c r="AW63" s="115" t="str">
        <f>IF(AT63="0","0",IF(AT63&lt;2,"20",IF(AT63&lt;3,"10","0")))</f>
        <v>20</v>
      </c>
      <c r="AX63" s="116">
        <f t="shared" si="26"/>
        <v>45</v>
      </c>
      <c r="AY63" s="117">
        <f t="shared" si="27"/>
        <v>0.52941176470588236</v>
      </c>
      <c r="AZ63" s="118" t="str">
        <f t="shared" si="14"/>
        <v>3</v>
      </c>
      <c r="BA63" s="119" t="str">
        <f t="shared" si="28"/>
        <v>3</v>
      </c>
      <c r="BB63" s="32"/>
      <c r="BC63" s="113">
        <v>10</v>
      </c>
      <c r="BD63" s="113" t="s">
        <v>97</v>
      </c>
      <c r="BE63" s="120">
        <f t="shared" si="22"/>
        <v>5</v>
      </c>
      <c r="BF63" s="121" t="str">
        <f t="shared" si="16"/>
        <v>Très faible production</v>
      </c>
      <c r="BG63" s="122" t="str">
        <f t="shared" si="17"/>
        <v>E</v>
      </c>
      <c r="BH63" s="32"/>
      <c r="BI63" s="7"/>
      <c r="BJ63" s="5">
        <v>0</v>
      </c>
      <c r="BK63" s="7"/>
      <c r="BL63" s="131">
        <v>0</v>
      </c>
      <c r="BM63" s="132" t="s">
        <v>99</v>
      </c>
      <c r="BN63"/>
      <c r="BO63" s="60" t="str">
        <f t="shared" si="38"/>
        <v>Catégorie 3E NON</v>
      </c>
      <c r="BP63"/>
      <c r="BQ63" s="42" t="s">
        <v>88</v>
      </c>
      <c r="BR63"/>
      <c r="BS63" s="187" t="str">
        <f t="shared" si="29"/>
        <v>X</v>
      </c>
      <c r="BT63" s="19" t="str">
        <f t="shared" si="30"/>
        <v>X</v>
      </c>
      <c r="BU63" s="19" t="str">
        <f t="shared" si="31"/>
        <v/>
      </c>
      <c r="BV63" s="10"/>
      <c r="BW63" s="5" t="str">
        <f t="shared" si="32"/>
        <v>X</v>
      </c>
      <c r="BX63" s="5" t="str">
        <f t="shared" si="33"/>
        <v/>
      </c>
      <c r="BY63"/>
      <c r="BZ63" s="5" t="str">
        <f t="shared" si="34"/>
        <v/>
      </c>
      <c r="CA63" s="5" t="str">
        <f t="shared" si="35"/>
        <v/>
      </c>
      <c r="CB63" s="188" t="str">
        <f t="shared" si="36"/>
        <v/>
      </c>
    </row>
    <row r="64" spans="1:80" s="27" customFormat="1" ht="30" customHeight="1" x14ac:dyDescent="0.55000000000000004">
      <c r="A64" s="104">
        <v>60</v>
      </c>
      <c r="B64" s="104" t="s">
        <v>75</v>
      </c>
      <c r="C64" s="111" t="s">
        <v>803</v>
      </c>
      <c r="D64" s="104" t="s">
        <v>77</v>
      </c>
      <c r="E64" s="104" t="s">
        <v>804</v>
      </c>
      <c r="F64" s="104" t="s">
        <v>805</v>
      </c>
      <c r="G64" s="104" t="s">
        <v>806</v>
      </c>
      <c r="H64" s="104" t="s">
        <v>807</v>
      </c>
      <c r="I64" s="104" t="s">
        <v>808</v>
      </c>
      <c r="J64" s="104"/>
      <c r="K64" s="104" t="s">
        <v>809</v>
      </c>
      <c r="L64" s="104"/>
      <c r="M64" s="104"/>
      <c r="N64" s="104"/>
      <c r="O64" s="104" t="s">
        <v>85</v>
      </c>
      <c r="P64" s="104"/>
      <c r="Q64" s="102"/>
      <c r="R64" s="104"/>
      <c r="S64" s="104" t="s">
        <v>86</v>
      </c>
      <c r="T64" s="104"/>
      <c r="U64" s="104" t="s">
        <v>810</v>
      </c>
      <c r="V64" s="104" t="s">
        <v>88</v>
      </c>
      <c r="W64" s="104" t="s">
        <v>811</v>
      </c>
      <c r="X64" s="104" t="s">
        <v>812</v>
      </c>
      <c r="Y64" s="104" t="s">
        <v>813</v>
      </c>
      <c r="Z64" s="104" t="s">
        <v>814</v>
      </c>
      <c r="AA64" s="104">
        <v>25</v>
      </c>
      <c r="AB64" s="128">
        <f>LOG(191)</f>
        <v>2.2810333672477277</v>
      </c>
      <c r="AC64" s="104" t="s">
        <v>815</v>
      </c>
      <c r="AD64" s="104" t="s">
        <v>816</v>
      </c>
      <c r="AE64"/>
      <c r="AF64" s="30" t="str" cm="1">
        <f t="array" ref="AF64">_xlfn.IFS(COUNTIF(Table14623576[[#This Row],[PBT/ vPvB]],"*X*"), 20, TRUE, "")</f>
        <v/>
      </c>
      <c r="AG64" s="30" t="str" cm="1">
        <f t="array" ref="AG64">_xlfn.IFS(COUNTIF(Table14623576[[#This Row],[Perturbateur Endocrinien]],"*X*"), 20, TRUE, "")</f>
        <v/>
      </c>
      <c r="AH64" s="30" t="str" cm="1">
        <f t="array" ref="AH64">_xlfn.IFS(COUNTIF(Table14623576[[#This Row],[Phrases H]],"*H350*"), 20, TRUE, "")</f>
        <v/>
      </c>
      <c r="AI64" s="30" t="str" cm="1">
        <f t="array" ref="AI64">_xlfn.IFS(COUNTIF(Table14623576[[#This Row],[Phrases H]],"*H360*"), 20, TRUE, "")</f>
        <v/>
      </c>
      <c r="AJ64" s="30" t="str" cm="1">
        <f t="array" ref="AJ64">_xlfn.IFS(COUNTIF(Table14623576[[#This Row],[Phrases H]],"*H340*"), 20, TRUE, "")</f>
        <v/>
      </c>
      <c r="AK64" s="30" t="str" cm="1">
        <f t="array" ref="AK64">_xlfn.IFS(COUNTIF(Table14623576[[#This Row],[Phrases H]],"*H351*"), 10, TRUE, "")</f>
        <v/>
      </c>
      <c r="AL64" s="30" t="str" cm="1">
        <f t="array" ref="AL64">_xlfn.IFS(COUNTIF(Table14623576[[#This Row],[Phrases H]],"*H361*"), 10, TRUE, "")</f>
        <v/>
      </c>
      <c r="AM64" s="30" t="str" cm="1">
        <f t="array" ref="AM64">_xlfn.IFS(COUNTIF(Table14623576[[#This Row],[Phrases H]],"*H362*"), 10, TRUE, "")</f>
        <v/>
      </c>
      <c r="AN64" s="30" cm="1">
        <f t="array" ref="AN64">_xlfn.IFS(COUNTIF(Table14623576[[#This Row],[Phrases H]],"*H341*"), 10, TRUE, "")</f>
        <v>10</v>
      </c>
      <c r="AO64" s="30" t="str" cm="1">
        <f t="array" ref="AO64">_xlfn.IFS(COUNTIF(Table14623576[[#This Row],[Phrases H]],"*H372*"), 10, TRUE, "")</f>
        <v/>
      </c>
      <c r="AP64" s="30" t="str" cm="1">
        <f t="array" ref="AP64">_xlfn.IFS(COUNTIF(Table14623576[[#This Row],[Phrases H]],"*H410*"), 10, TRUE, "")</f>
        <v/>
      </c>
      <c r="AQ64" s="30" t="str" cm="1">
        <f t="array" ref="AQ64">_xlfn.IFS(COUNTIF(Table14623576[[#This Row],[Phrases H]],"*H373*"), 5, TRUE, "")</f>
        <v/>
      </c>
      <c r="AR64" s="30" cm="1">
        <f t="array" ref="AR64">_xlfn.IFS(COUNTIF(Table14623576[[#This Row],[Phrases H]],"*H411*"), 5, TRUE, "")</f>
        <v>5</v>
      </c>
      <c r="AS64" s="112">
        <f t="shared" si="12"/>
        <v>15</v>
      </c>
      <c r="AT64" s="129">
        <f>LOG(191)</f>
        <v>2.2810333672477277</v>
      </c>
      <c r="AU64" s="113">
        <v>68.3</v>
      </c>
      <c r="AV64" s="114">
        <f t="shared" si="0"/>
        <v>30</v>
      </c>
      <c r="AW64" s="115" t="str">
        <f>IF(AT64="0","0",IF(AT64&lt;2,"20",IF(AT64&lt;3,"10","0")))</f>
        <v>10</v>
      </c>
      <c r="AX64" s="116">
        <f t="shared" si="26"/>
        <v>25</v>
      </c>
      <c r="AY64" s="117">
        <f t="shared" si="27"/>
        <v>0.29411764705882354</v>
      </c>
      <c r="AZ64" s="118" t="str">
        <f t="shared" si="14"/>
        <v>4</v>
      </c>
      <c r="BA64" s="119" t="str">
        <f t="shared" si="28"/>
        <v>4</v>
      </c>
      <c r="BB64" s="32"/>
      <c r="BC64" s="113">
        <v>10</v>
      </c>
      <c r="BD64" s="113" t="s">
        <v>97</v>
      </c>
      <c r="BE64" s="120">
        <f t="shared" si="22"/>
        <v>5</v>
      </c>
      <c r="BF64" s="121" t="str">
        <f t="shared" si="16"/>
        <v>Très faible production</v>
      </c>
      <c r="BG64" s="122" t="str">
        <f t="shared" si="17"/>
        <v>E</v>
      </c>
      <c r="BH64" s="32"/>
      <c r="BI64" s="7"/>
      <c r="BJ64" s="5">
        <v>0</v>
      </c>
      <c r="BK64" s="7"/>
      <c r="BL64" s="131">
        <v>0</v>
      </c>
      <c r="BM64" s="132" t="s">
        <v>99</v>
      </c>
      <c r="BN64"/>
      <c r="BO64" s="60" t="str">
        <f t="shared" si="38"/>
        <v>Catégorie 4E NON</v>
      </c>
      <c r="BP64"/>
      <c r="BQ64" s="42" t="s">
        <v>88</v>
      </c>
      <c r="BR64"/>
      <c r="BS64" s="187" t="str">
        <f t="shared" si="29"/>
        <v/>
      </c>
      <c r="BT64" s="19" t="str">
        <f t="shared" si="30"/>
        <v/>
      </c>
      <c r="BU64" s="19" t="str">
        <f t="shared" si="31"/>
        <v/>
      </c>
      <c r="BV64" s="10"/>
      <c r="BW64" s="5" t="str">
        <f t="shared" si="32"/>
        <v>X</v>
      </c>
      <c r="BX64" s="5" t="str">
        <f t="shared" si="33"/>
        <v/>
      </c>
      <c r="BY64"/>
      <c r="BZ64" s="5" t="str">
        <f t="shared" si="34"/>
        <v/>
      </c>
      <c r="CA64" s="5" t="str">
        <f t="shared" si="35"/>
        <v/>
      </c>
      <c r="CB64" s="188" t="str">
        <f t="shared" si="36"/>
        <v/>
      </c>
    </row>
    <row r="65" spans="1:80" s="27" customFormat="1" ht="30" customHeight="1" x14ac:dyDescent="0.55000000000000004">
      <c r="A65" s="104">
        <v>61</v>
      </c>
      <c r="B65" s="104" t="s">
        <v>75</v>
      </c>
      <c r="C65" s="111" t="s">
        <v>817</v>
      </c>
      <c r="D65" s="104" t="s">
        <v>818</v>
      </c>
      <c r="E65" s="104" t="s">
        <v>819</v>
      </c>
      <c r="F65" s="104" t="s">
        <v>820</v>
      </c>
      <c r="G65" s="104" t="s">
        <v>821</v>
      </c>
      <c r="H65" s="104" t="s">
        <v>822</v>
      </c>
      <c r="I65" s="104" t="s">
        <v>512</v>
      </c>
      <c r="J65" s="104"/>
      <c r="K65" s="104" t="s">
        <v>84</v>
      </c>
      <c r="L65" s="104"/>
      <c r="M65" s="104"/>
      <c r="N65" s="104"/>
      <c r="O65" s="104"/>
      <c r="P65" s="104"/>
      <c r="Q65" s="104"/>
      <c r="R65" s="104"/>
      <c r="S65" s="104" t="s">
        <v>88</v>
      </c>
      <c r="T65" s="104"/>
      <c r="U65" s="104" t="s">
        <v>823</v>
      </c>
      <c r="V65" s="104" t="s">
        <v>88</v>
      </c>
      <c r="W65" s="104" t="s">
        <v>824</v>
      </c>
      <c r="X65" s="104" t="s">
        <v>110</v>
      </c>
      <c r="Y65" s="104" t="s">
        <v>93</v>
      </c>
      <c r="Z65" s="104" t="s">
        <v>688</v>
      </c>
      <c r="AA65" s="104">
        <v>25</v>
      </c>
      <c r="AB65" s="104" t="s">
        <v>93</v>
      </c>
      <c r="AC65" s="104" t="s">
        <v>93</v>
      </c>
      <c r="AD65" s="104" t="s">
        <v>93</v>
      </c>
      <c r="AE65"/>
      <c r="AF65" s="30" t="str" cm="1">
        <f t="array" ref="AF65">_xlfn.IFS(COUNTIF(Table14623576[[#This Row],[PBT/ vPvB]],"*X*"), 20, TRUE, "")</f>
        <v/>
      </c>
      <c r="AG65" s="30" t="str" cm="1">
        <f t="array" ref="AG65">_xlfn.IFS(COUNTIF(Table14623576[[#This Row],[Perturbateur Endocrinien]],"*X*"), 20, TRUE, "")</f>
        <v/>
      </c>
      <c r="AH65" s="30" t="str" cm="1">
        <f t="array" ref="AH65">_xlfn.IFS(COUNTIF(Table14623576[[#This Row],[Phrases H]],"*H350*"), 20, TRUE, "")</f>
        <v/>
      </c>
      <c r="AI65" s="30" cm="1">
        <f t="array" ref="AI65">_xlfn.IFS(COUNTIF(Table14623576[[#This Row],[Phrases H]],"*H360*"), 20, TRUE, "")</f>
        <v>20</v>
      </c>
      <c r="AJ65" s="30" t="str" cm="1">
        <f t="array" ref="AJ65">_xlfn.IFS(COUNTIF(Table14623576[[#This Row],[Phrases H]],"*H340*"), 20, TRUE, "")</f>
        <v/>
      </c>
      <c r="AK65" s="30" t="str" cm="1">
        <f t="array" ref="AK65">_xlfn.IFS(COUNTIF(Table14623576[[#This Row],[Phrases H]],"*H351*"), 10, TRUE, "")</f>
        <v/>
      </c>
      <c r="AL65" s="30" t="str" cm="1">
        <f t="array" ref="AL65">_xlfn.IFS(COUNTIF(Table14623576[[#This Row],[Phrases H]],"*H361*"), 10, TRUE, "")</f>
        <v/>
      </c>
      <c r="AM65" s="30" t="str" cm="1">
        <f t="array" ref="AM65">_xlfn.IFS(COUNTIF(Table14623576[[#This Row],[Phrases H]],"*H362*"), 10, TRUE, "")</f>
        <v/>
      </c>
      <c r="AN65" s="30" t="str" cm="1">
        <f t="array" ref="AN65">_xlfn.IFS(COUNTIF(Table14623576[[#This Row],[Phrases H]],"*H341*"), 10, TRUE, "")</f>
        <v/>
      </c>
      <c r="AO65" s="30" t="str" cm="1">
        <f t="array" ref="AO65">_xlfn.IFS(COUNTIF(Table14623576[[#This Row],[Phrases H]],"*H372*"), 10, TRUE, "")</f>
        <v/>
      </c>
      <c r="AP65" s="30" t="str" cm="1">
        <f t="array" ref="AP65">_xlfn.IFS(COUNTIF(Table14623576[[#This Row],[Phrases H]],"*H410*"), 10, TRUE, "")</f>
        <v/>
      </c>
      <c r="AQ65" s="30" t="str" cm="1">
        <f t="array" ref="AQ65">_xlfn.IFS(COUNTIF(Table14623576[[#This Row],[Phrases H]],"*H373*"), 5, TRUE, "")</f>
        <v/>
      </c>
      <c r="AR65" s="30" t="str" cm="1">
        <f t="array" ref="AR65">_xlfn.IFS(COUNTIF(Table14623576[[#This Row],[Phrases H]],"*H411*"), 5, TRUE, "")</f>
        <v/>
      </c>
      <c r="AS65" s="112">
        <f t="shared" si="12"/>
        <v>20</v>
      </c>
      <c r="AT65" s="113" t="s">
        <v>88</v>
      </c>
      <c r="AU65" s="113">
        <v>822</v>
      </c>
      <c r="AV65" s="114">
        <f t="shared" si="0"/>
        <v>30</v>
      </c>
      <c r="AW65" s="115">
        <f>IF(OR(AV65=30,AV65=40),10,IF(AV65=50,20,"0"))</f>
        <v>10</v>
      </c>
      <c r="AX65" s="116">
        <f t="shared" si="26"/>
        <v>30</v>
      </c>
      <c r="AY65" s="117">
        <f t="shared" si="27"/>
        <v>0.35294117647058826</v>
      </c>
      <c r="AZ65" s="118" t="str">
        <f t="shared" si="14"/>
        <v>4</v>
      </c>
      <c r="BA65" s="119" t="str">
        <f t="shared" si="28"/>
        <v>4</v>
      </c>
      <c r="BB65" s="32"/>
      <c r="BC65" s="113">
        <v>1000</v>
      </c>
      <c r="BD65" s="113" t="s">
        <v>97</v>
      </c>
      <c r="BE65" s="120">
        <f t="shared" si="22"/>
        <v>15</v>
      </c>
      <c r="BF65" s="121" t="str">
        <f t="shared" si="16"/>
        <v>Production modérée</v>
      </c>
      <c r="BG65" s="122" t="str">
        <f t="shared" si="17"/>
        <v>C</v>
      </c>
      <c r="BH65" s="32"/>
      <c r="BI65" s="7"/>
      <c r="BJ65" s="5">
        <v>0</v>
      </c>
      <c r="BK65" s="7"/>
      <c r="BL65" s="131">
        <v>0</v>
      </c>
      <c r="BM65" s="132" t="s">
        <v>99</v>
      </c>
      <c r="BN65"/>
      <c r="BO65" s="60" t="str">
        <f t="shared" si="38"/>
        <v>Catégorie 4C NON</v>
      </c>
      <c r="BP65"/>
      <c r="BQ65" s="42" t="s">
        <v>88</v>
      </c>
      <c r="BR65"/>
      <c r="BS65" s="187" t="str">
        <f t="shared" si="29"/>
        <v/>
      </c>
      <c r="BT65" s="19" t="str">
        <f t="shared" si="30"/>
        <v/>
      </c>
      <c r="BU65" s="19" t="str">
        <f t="shared" si="31"/>
        <v/>
      </c>
      <c r="BV65" s="10"/>
      <c r="BW65" s="5" t="str">
        <f t="shared" si="32"/>
        <v/>
      </c>
      <c r="BX65" s="5" t="str">
        <f t="shared" si="33"/>
        <v/>
      </c>
      <c r="BY65"/>
      <c r="BZ65" s="5" t="str">
        <f t="shared" si="34"/>
        <v/>
      </c>
      <c r="CA65" s="5" t="str">
        <f t="shared" si="35"/>
        <v/>
      </c>
      <c r="CB65" s="188" t="str">
        <f t="shared" si="36"/>
        <v/>
      </c>
    </row>
    <row r="66" spans="1:80" s="27" customFormat="1" ht="30" customHeight="1" x14ac:dyDescent="0.55000000000000004">
      <c r="A66" s="104">
        <v>62</v>
      </c>
      <c r="B66" s="104" t="s">
        <v>75</v>
      </c>
      <c r="C66" s="111" t="s">
        <v>825</v>
      </c>
      <c r="D66" s="104" t="s">
        <v>826</v>
      </c>
      <c r="E66" s="104" t="s">
        <v>827</v>
      </c>
      <c r="F66" s="104" t="s">
        <v>828</v>
      </c>
      <c r="G66" s="104" t="s">
        <v>829</v>
      </c>
      <c r="H66" s="104" t="s">
        <v>830</v>
      </c>
      <c r="I66" s="104" t="s">
        <v>512</v>
      </c>
      <c r="J66" s="104" t="s">
        <v>831</v>
      </c>
      <c r="K66" s="104" t="s">
        <v>84</v>
      </c>
      <c r="L66" s="104"/>
      <c r="M66" s="104"/>
      <c r="N66" s="104"/>
      <c r="O66" s="104" t="s">
        <v>85</v>
      </c>
      <c r="P66" s="104"/>
      <c r="Q66" s="102"/>
      <c r="R66" s="104" t="s">
        <v>85</v>
      </c>
      <c r="S66" s="104" t="s">
        <v>86</v>
      </c>
      <c r="T66" s="104"/>
      <c r="U66" s="104" t="s">
        <v>832</v>
      </c>
      <c r="V66" s="104" t="s">
        <v>122</v>
      </c>
      <c r="W66" s="104" t="s">
        <v>833</v>
      </c>
      <c r="X66" s="104" t="s">
        <v>335</v>
      </c>
      <c r="Y66" s="104" t="s">
        <v>834</v>
      </c>
      <c r="Z66" s="104" t="s">
        <v>835</v>
      </c>
      <c r="AA66" s="104">
        <v>23</v>
      </c>
      <c r="AB66" s="128">
        <f>LOG(288)</f>
        <v>2.459392487759231</v>
      </c>
      <c r="AC66" s="104" t="s">
        <v>836</v>
      </c>
      <c r="AD66" s="104" t="s">
        <v>837</v>
      </c>
      <c r="AE66"/>
      <c r="AF66" s="30" cm="1">
        <f t="array" ref="AF66">_xlfn.IFS(COUNTIF(Table14623576[[#This Row],[PBT/ vPvB]],"*X*"), 20, TRUE, "")</f>
        <v>20</v>
      </c>
      <c r="AG66" s="30" t="str" cm="1">
        <f t="array" ref="AG66">_xlfn.IFS(COUNTIF(Table14623576[[#This Row],[Perturbateur Endocrinien]],"*X*"), 20, TRUE, "")</f>
        <v/>
      </c>
      <c r="AH66" s="30" t="str" cm="1">
        <f t="array" ref="AH66">_xlfn.IFS(COUNTIF(Table14623576[[#This Row],[Phrases H]],"*H350*"), 20, TRUE, "")</f>
        <v/>
      </c>
      <c r="AI66" s="30" t="str" cm="1">
        <f t="array" ref="AI66">_xlfn.IFS(COUNTIF(Table14623576[[#This Row],[Phrases H]],"*H360*"), 20, TRUE, "")</f>
        <v/>
      </c>
      <c r="AJ66" s="30" t="str" cm="1">
        <f t="array" ref="AJ66">_xlfn.IFS(COUNTIF(Table14623576[[#This Row],[Phrases H]],"*H340*"), 20, TRUE, "")</f>
        <v/>
      </c>
      <c r="AK66" s="30" t="str" cm="1">
        <f t="array" ref="AK66">_xlfn.IFS(COUNTIF(Table14623576[[#This Row],[Phrases H]],"*H351*"), 10, TRUE, "")</f>
        <v/>
      </c>
      <c r="AL66" s="30" t="str" cm="1">
        <f t="array" ref="AL66">_xlfn.IFS(COUNTIF(Table14623576[[#This Row],[Phrases H]],"*H361*"), 10, TRUE, "")</f>
        <v/>
      </c>
      <c r="AM66" s="30" t="str" cm="1">
        <f t="array" ref="AM66">_xlfn.IFS(COUNTIF(Table14623576[[#This Row],[Phrases H]],"*H362*"), 10, TRUE, "")</f>
        <v/>
      </c>
      <c r="AN66" s="30" t="str" cm="1">
        <f t="array" ref="AN66">_xlfn.IFS(COUNTIF(Table14623576[[#This Row],[Phrases H]],"*H341*"), 10, TRUE, "")</f>
        <v/>
      </c>
      <c r="AO66" s="30" t="str" cm="1">
        <f t="array" ref="AO66">_xlfn.IFS(COUNTIF(Table14623576[[#This Row],[Phrases H]],"*H372*"), 10, TRUE, "")</f>
        <v/>
      </c>
      <c r="AP66" s="30" t="str" cm="1">
        <f t="array" ref="AP66">_xlfn.IFS(COUNTIF(Table14623576[[#This Row],[Phrases H]],"*H410*"), 10, TRUE, "")</f>
        <v/>
      </c>
      <c r="AQ66" s="30" t="str" cm="1">
        <f t="array" ref="AQ66">_xlfn.IFS(COUNTIF(Table14623576[[#This Row],[Phrases H]],"*H373*"), 5, TRUE, "")</f>
        <v/>
      </c>
      <c r="AR66" s="30" t="str" cm="1">
        <f t="array" ref="AR66">_xlfn.IFS(COUNTIF(Table14623576[[#This Row],[Phrases H]],"*H411*"), 5, TRUE, "")</f>
        <v/>
      </c>
      <c r="AS66" s="112">
        <f t="shared" si="12"/>
        <v>20</v>
      </c>
      <c r="AT66" s="129">
        <f>LOG(288)</f>
        <v>2.459392487759231</v>
      </c>
      <c r="AU66" s="113">
        <v>52600</v>
      </c>
      <c r="AV66" s="114">
        <f t="shared" si="0"/>
        <v>40</v>
      </c>
      <c r="AW66" s="115" t="str">
        <f t="shared" ref="AW66:AW74" si="40">IF(AT66="0","0",IF(AT66&lt;2,"20",IF(AT66&lt;3,"10","0")))</f>
        <v>10</v>
      </c>
      <c r="AX66" s="116">
        <f t="shared" si="26"/>
        <v>30</v>
      </c>
      <c r="AY66" s="117">
        <f t="shared" si="27"/>
        <v>0.35294117647058826</v>
      </c>
      <c r="AZ66" s="118" t="str">
        <f t="shared" si="14"/>
        <v>4</v>
      </c>
      <c r="BA66" s="119" t="str">
        <f t="shared" si="28"/>
        <v>4</v>
      </c>
      <c r="BB66" s="32"/>
      <c r="BC66" s="113">
        <v>1000</v>
      </c>
      <c r="BD66" s="113" t="s">
        <v>97</v>
      </c>
      <c r="BE66" s="120">
        <f t="shared" si="22"/>
        <v>15</v>
      </c>
      <c r="BF66" s="121" t="str">
        <f t="shared" si="16"/>
        <v>Production modérée</v>
      </c>
      <c r="BG66" s="122" t="str">
        <f t="shared" si="17"/>
        <v>C</v>
      </c>
      <c r="BH66" s="32"/>
      <c r="BI66" s="7"/>
      <c r="BJ66" s="5">
        <v>0</v>
      </c>
      <c r="BK66" s="7"/>
      <c r="BL66" s="131">
        <v>0</v>
      </c>
      <c r="BM66" s="132" t="s">
        <v>99</v>
      </c>
      <c r="BN66"/>
      <c r="BO66" s="60" t="str">
        <f t="shared" si="38"/>
        <v>Catégorie 4C NON</v>
      </c>
      <c r="BP66"/>
      <c r="BQ66" s="42" t="s">
        <v>88</v>
      </c>
      <c r="BR66"/>
      <c r="BS66" s="187" t="str">
        <f t="shared" si="29"/>
        <v/>
      </c>
      <c r="BT66" s="19" t="str">
        <f t="shared" si="30"/>
        <v/>
      </c>
      <c r="BU66" s="19" t="str">
        <f t="shared" si="31"/>
        <v/>
      </c>
      <c r="BV66" s="10"/>
      <c r="BW66" s="5" t="str">
        <f t="shared" si="32"/>
        <v/>
      </c>
      <c r="BX66" s="5" t="str">
        <f t="shared" si="33"/>
        <v/>
      </c>
      <c r="BY66"/>
      <c r="BZ66" s="5" t="str">
        <f t="shared" si="34"/>
        <v/>
      </c>
      <c r="CA66" s="5" t="str">
        <f t="shared" si="35"/>
        <v/>
      </c>
      <c r="CB66" s="188" t="str">
        <f t="shared" si="36"/>
        <v/>
      </c>
    </row>
    <row r="67" spans="1:80" s="27" customFormat="1" ht="30" customHeight="1" x14ac:dyDescent="0.55000000000000004">
      <c r="A67" s="104">
        <v>63</v>
      </c>
      <c r="B67" s="104" t="s">
        <v>75</v>
      </c>
      <c r="C67" s="111" t="s">
        <v>838</v>
      </c>
      <c r="D67" s="134" t="s">
        <v>77</v>
      </c>
      <c r="E67" s="104" t="s">
        <v>839</v>
      </c>
      <c r="F67" s="104" t="s">
        <v>840</v>
      </c>
      <c r="G67" s="104" t="s">
        <v>841</v>
      </c>
      <c r="H67" s="104" t="s">
        <v>842</v>
      </c>
      <c r="I67" s="104" t="s">
        <v>605</v>
      </c>
      <c r="J67" s="104"/>
      <c r="K67" s="104" t="s">
        <v>379</v>
      </c>
      <c r="L67" s="104"/>
      <c r="M67" s="104"/>
      <c r="N67" s="104"/>
      <c r="O67" s="104"/>
      <c r="P67" s="104"/>
      <c r="Q67" s="102"/>
      <c r="R67" s="104"/>
      <c r="S67" s="104" t="s">
        <v>86</v>
      </c>
      <c r="T67" s="104"/>
      <c r="U67" s="104" t="s">
        <v>843</v>
      </c>
      <c r="V67" s="104" t="s">
        <v>88</v>
      </c>
      <c r="W67" s="104" t="s">
        <v>844</v>
      </c>
      <c r="X67" s="104" t="s">
        <v>335</v>
      </c>
      <c r="Y67" s="104" t="s">
        <v>845</v>
      </c>
      <c r="Z67" s="104" t="s">
        <v>846</v>
      </c>
      <c r="AA67" s="104">
        <v>20</v>
      </c>
      <c r="AB67" s="128">
        <f>LOG(6918)</f>
        <v>3.8399805576783428</v>
      </c>
      <c r="AC67" s="104" t="s">
        <v>847</v>
      </c>
      <c r="AD67" s="104" t="s">
        <v>848</v>
      </c>
      <c r="AE67"/>
      <c r="AF67" s="30" t="str" cm="1">
        <f t="array" ref="AF67">_xlfn.IFS(COUNTIF(Table14623576[[#This Row],[PBT/ vPvB]],"*X*"), 20, TRUE, "")</f>
        <v/>
      </c>
      <c r="AG67" s="30" t="str" cm="1">
        <f t="array" ref="AG67">_xlfn.IFS(COUNTIF(Table14623576[[#This Row],[Perturbateur Endocrinien]],"*X*"), 20, TRUE, "")</f>
        <v/>
      </c>
      <c r="AH67" s="30" t="str" cm="1">
        <f t="array" ref="AH67">_xlfn.IFS(COUNTIF(Table14623576[[#This Row],[Phrases H]],"*H350*"), 20, TRUE, "")</f>
        <v/>
      </c>
      <c r="AI67" s="30" t="str" cm="1">
        <f t="array" ref="AI67">_xlfn.IFS(COUNTIF(Table14623576[[#This Row],[Phrases H]],"*H360*"), 20, TRUE, "")</f>
        <v/>
      </c>
      <c r="AJ67" s="30" t="str" cm="1">
        <f t="array" ref="AJ67">_xlfn.IFS(COUNTIF(Table14623576[[#This Row],[Phrases H]],"*H340*"), 20, TRUE, "")</f>
        <v/>
      </c>
      <c r="AK67" s="30" t="str" cm="1">
        <f t="array" ref="AK67">_xlfn.IFS(COUNTIF(Table14623576[[#This Row],[Phrases H]],"*H351*"), 10, TRUE, "")</f>
        <v/>
      </c>
      <c r="AL67" s="30" t="str" cm="1">
        <f t="array" ref="AL67">_xlfn.IFS(COUNTIF(Table14623576[[#This Row],[Phrases H]],"*H361*"), 10, TRUE, "")</f>
        <v/>
      </c>
      <c r="AM67" s="30" t="str" cm="1">
        <f t="array" ref="AM67">_xlfn.IFS(COUNTIF(Table14623576[[#This Row],[Phrases H]],"*H362*"), 10, TRUE, "")</f>
        <v/>
      </c>
      <c r="AN67" s="30" t="str" cm="1">
        <f t="array" ref="AN67">_xlfn.IFS(COUNTIF(Table14623576[[#This Row],[Phrases H]],"*H341*"), 10, TRUE, "")</f>
        <v/>
      </c>
      <c r="AO67" s="30" t="str" cm="1">
        <f t="array" ref="AO67">_xlfn.IFS(COUNTIF(Table14623576[[#This Row],[Phrases H]],"*H372*"), 10, TRUE, "")</f>
        <v/>
      </c>
      <c r="AP67" s="30" t="str" cm="1">
        <f t="array" ref="AP67">_xlfn.IFS(COUNTIF(Table14623576[[#This Row],[Phrases H]],"*H410*"), 10, TRUE, "")</f>
        <v/>
      </c>
      <c r="AQ67" s="30" cm="1">
        <f t="array" ref="AQ67">_xlfn.IFS(COUNTIF(Table14623576[[#This Row],[Phrases H]],"*H373*"), 5, TRUE, "")</f>
        <v>5</v>
      </c>
      <c r="AR67" s="30" cm="1">
        <f t="array" ref="AR67">_xlfn.IFS(COUNTIF(Table14623576[[#This Row],[Phrases H]],"*H411*"), 5, TRUE, "")</f>
        <v>5</v>
      </c>
      <c r="AS67" s="112">
        <f t="shared" si="12"/>
        <v>10</v>
      </c>
      <c r="AT67" s="129">
        <f>LOG(6918)</f>
        <v>3.8399805576783428</v>
      </c>
      <c r="AU67" s="113">
        <v>270000</v>
      </c>
      <c r="AV67" s="114">
        <f t="shared" si="0"/>
        <v>50</v>
      </c>
      <c r="AW67" s="115" t="str">
        <f t="shared" si="40"/>
        <v>0</v>
      </c>
      <c r="AX67" s="116">
        <f t="shared" si="26"/>
        <v>10</v>
      </c>
      <c r="AY67" s="117">
        <f t="shared" si="27"/>
        <v>0.11764705882352941</v>
      </c>
      <c r="AZ67" s="118" t="str">
        <f t="shared" si="14"/>
        <v>5</v>
      </c>
      <c r="BA67" s="119" t="str">
        <f t="shared" si="28"/>
        <v>5</v>
      </c>
      <c r="BB67" s="32"/>
      <c r="BC67" s="113">
        <v>100</v>
      </c>
      <c r="BD67" s="113" t="s">
        <v>97</v>
      </c>
      <c r="BE67" s="120">
        <f t="shared" si="22"/>
        <v>10</v>
      </c>
      <c r="BF67" s="121" t="str">
        <f t="shared" si="16"/>
        <v>Faible production</v>
      </c>
      <c r="BG67" s="122" t="str">
        <f t="shared" si="17"/>
        <v>D</v>
      </c>
      <c r="BH67" s="32"/>
      <c r="BI67" s="7"/>
      <c r="BJ67" s="5">
        <v>0</v>
      </c>
      <c r="BK67" s="7"/>
      <c r="BL67" s="131">
        <v>0</v>
      </c>
      <c r="BM67" s="132" t="s">
        <v>99</v>
      </c>
      <c r="BN67"/>
      <c r="BO67" s="60" t="str">
        <f t="shared" si="38"/>
        <v>Catégorie 5D NON</v>
      </c>
      <c r="BP67"/>
      <c r="BQ67" s="42" t="s">
        <v>88</v>
      </c>
      <c r="BR67"/>
      <c r="BS67" s="187" t="str">
        <f t="shared" si="29"/>
        <v/>
      </c>
      <c r="BT67" s="19" t="str">
        <f t="shared" si="30"/>
        <v/>
      </c>
      <c r="BU67" s="19" t="str">
        <f t="shared" si="31"/>
        <v/>
      </c>
      <c r="BV67" s="10"/>
      <c r="BW67" s="5" t="str">
        <f t="shared" si="32"/>
        <v>X</v>
      </c>
      <c r="BX67" s="5" t="str">
        <f t="shared" si="33"/>
        <v/>
      </c>
      <c r="BY67"/>
      <c r="BZ67" s="5" t="str">
        <f t="shared" si="34"/>
        <v/>
      </c>
      <c r="CA67" s="5" t="str">
        <f t="shared" si="35"/>
        <v/>
      </c>
      <c r="CB67" s="188" t="str">
        <f t="shared" si="36"/>
        <v/>
      </c>
    </row>
    <row r="68" spans="1:80" s="27" customFormat="1" ht="30" customHeight="1" x14ac:dyDescent="0.55000000000000004">
      <c r="A68" s="104">
        <v>64</v>
      </c>
      <c r="B68" s="104" t="s">
        <v>75</v>
      </c>
      <c r="C68" s="111" t="s">
        <v>849</v>
      </c>
      <c r="D68" s="104" t="s">
        <v>850</v>
      </c>
      <c r="E68" s="104" t="s">
        <v>851</v>
      </c>
      <c r="F68" s="104" t="s">
        <v>852</v>
      </c>
      <c r="G68" s="104" t="s">
        <v>853</v>
      </c>
      <c r="H68" s="104" t="s">
        <v>854</v>
      </c>
      <c r="I68" s="104" t="s">
        <v>605</v>
      </c>
      <c r="J68" s="104" t="s">
        <v>855</v>
      </c>
      <c r="K68" s="104" t="s">
        <v>292</v>
      </c>
      <c r="L68" s="104"/>
      <c r="M68" s="104"/>
      <c r="N68" s="104"/>
      <c r="O68" s="104"/>
      <c r="P68" s="104" t="s">
        <v>85</v>
      </c>
      <c r="Q68" s="102"/>
      <c r="R68" s="104"/>
      <c r="S68" s="104" t="s">
        <v>187</v>
      </c>
      <c r="T68" s="104"/>
      <c r="U68" s="104" t="s">
        <v>856</v>
      </c>
      <c r="V68" s="104" t="s">
        <v>173</v>
      </c>
      <c r="W68" s="138" t="s">
        <v>857</v>
      </c>
      <c r="X68" s="138" t="s">
        <v>858</v>
      </c>
      <c r="Y68" s="104" t="s">
        <v>859</v>
      </c>
      <c r="Z68" s="104" t="s">
        <v>860</v>
      </c>
      <c r="AA68" s="104" t="s">
        <v>93</v>
      </c>
      <c r="AB68" s="104">
        <v>0.78</v>
      </c>
      <c r="AC68" s="104" t="s">
        <v>861</v>
      </c>
      <c r="AD68" s="104" t="s">
        <v>862</v>
      </c>
      <c r="AE68"/>
      <c r="AF68" s="30" t="str" cm="1">
        <f t="array" ref="AF68">_xlfn.IFS(COUNTIF(Table14623576[[#This Row],[PBT/ vPvB]],"*X*"), 20, TRUE, "")</f>
        <v/>
      </c>
      <c r="AG68" s="30" t="str" cm="1">
        <f t="array" ref="AG68">_xlfn.IFS(COUNTIF(Table14623576[[#This Row],[Perturbateur Endocrinien]],"*X*"), 20, TRUE, "")</f>
        <v/>
      </c>
      <c r="AH68" s="30" t="str" cm="1">
        <f t="array" ref="AH68">_xlfn.IFS(COUNTIF(Table14623576[[#This Row],[Phrases H]],"*H350*"), 20, TRUE, "")</f>
        <v/>
      </c>
      <c r="AI68" s="30" t="str" cm="1">
        <f t="array" ref="AI68">_xlfn.IFS(COUNTIF(Table14623576[[#This Row],[Phrases H]],"*H360*"), 20, TRUE, "")</f>
        <v/>
      </c>
      <c r="AJ68" s="30" t="str" cm="1">
        <f t="array" ref="AJ68">_xlfn.IFS(COUNTIF(Table14623576[[#This Row],[Phrases H]],"*H340*"), 20, TRUE, "")</f>
        <v/>
      </c>
      <c r="AK68" s="30" cm="1">
        <f t="array" ref="AK68">_xlfn.IFS(COUNTIF(Table14623576[[#This Row],[Phrases H]],"*H351*"), 10, TRUE, "")</f>
        <v>10</v>
      </c>
      <c r="AL68" s="30" cm="1">
        <f t="array" ref="AL68">_xlfn.IFS(COUNTIF(Table14623576[[#This Row],[Phrases H]],"*H361*"), 10, TRUE, "")</f>
        <v>10</v>
      </c>
      <c r="AM68" s="30" t="str" cm="1">
        <f t="array" ref="AM68">_xlfn.IFS(COUNTIF(Table14623576[[#This Row],[Phrases H]],"*H362*"), 10, TRUE, "")</f>
        <v/>
      </c>
      <c r="AN68" s="30" t="str" cm="1">
        <f t="array" ref="AN68">_xlfn.IFS(COUNTIF(Table14623576[[#This Row],[Phrases H]],"*H341*"), 10, TRUE, "")</f>
        <v/>
      </c>
      <c r="AO68" s="30" t="str" cm="1">
        <f t="array" ref="AO68">_xlfn.IFS(COUNTIF(Table14623576[[#This Row],[Phrases H]],"*H372*"), 10, TRUE, "")</f>
        <v/>
      </c>
      <c r="AP68" s="30" t="str" cm="1">
        <f t="array" ref="AP68">_xlfn.IFS(COUNTIF(Table14623576[[#This Row],[Phrases H]],"*H410*"), 10, TRUE, "")</f>
        <v/>
      </c>
      <c r="AQ68" s="30" t="str" cm="1">
        <f t="array" ref="AQ68">_xlfn.IFS(COUNTIF(Table14623576[[#This Row],[Phrases H]],"*H373*"), 5, TRUE, "")</f>
        <v/>
      </c>
      <c r="AR68" s="30" cm="1">
        <f t="array" ref="AR68">_xlfn.IFS(COUNTIF(Table14623576[[#This Row],[Phrases H]],"*H411*"), 5, TRUE, "")</f>
        <v>5</v>
      </c>
      <c r="AS68" s="112">
        <f t="shared" si="12"/>
        <v>25</v>
      </c>
      <c r="AT68" s="113">
        <v>0.78</v>
      </c>
      <c r="AU68" s="139">
        <v>142000</v>
      </c>
      <c r="AV68" s="114">
        <f t="shared" si="0"/>
        <v>50</v>
      </c>
      <c r="AW68" s="115" t="str">
        <f t="shared" si="40"/>
        <v>20</v>
      </c>
      <c r="AX68" s="116">
        <f t="shared" si="26"/>
        <v>45</v>
      </c>
      <c r="AY68" s="117">
        <f t="shared" si="27"/>
        <v>0.52941176470588236</v>
      </c>
      <c r="AZ68" s="118" t="str">
        <f t="shared" si="14"/>
        <v>3</v>
      </c>
      <c r="BA68" s="119" t="str">
        <f t="shared" si="28"/>
        <v>3</v>
      </c>
      <c r="BB68" s="32"/>
      <c r="BC68" s="113">
        <v>10000</v>
      </c>
      <c r="BD68" s="113" t="s">
        <v>97</v>
      </c>
      <c r="BE68" s="120">
        <f t="shared" si="22"/>
        <v>20</v>
      </c>
      <c r="BF68" s="121" t="str">
        <f t="shared" si="16"/>
        <v>Production élevée</v>
      </c>
      <c r="BG68" s="122" t="str">
        <f t="shared" si="17"/>
        <v>B</v>
      </c>
      <c r="BH68" s="32"/>
      <c r="BI68" s="7"/>
      <c r="BJ68" s="5">
        <v>0</v>
      </c>
      <c r="BK68" s="7"/>
      <c r="BL68" s="131">
        <v>0</v>
      </c>
      <c r="BM68" s="132" t="s">
        <v>99</v>
      </c>
      <c r="BN68"/>
      <c r="BO68" s="60" t="str">
        <f t="shared" si="38"/>
        <v>Catégorie 3B NON</v>
      </c>
      <c r="BP68"/>
      <c r="BQ68" s="42" t="s">
        <v>88</v>
      </c>
      <c r="BR68"/>
      <c r="BS68" s="187" t="str">
        <f t="shared" si="29"/>
        <v>X</v>
      </c>
      <c r="BT68" s="19" t="str">
        <f t="shared" si="30"/>
        <v>X</v>
      </c>
      <c r="BU68" s="19" t="str">
        <f t="shared" si="31"/>
        <v/>
      </c>
      <c r="BV68" s="10"/>
      <c r="BW68" s="5" t="str">
        <f t="shared" si="32"/>
        <v/>
      </c>
      <c r="BX68" s="5" t="str">
        <f t="shared" si="33"/>
        <v/>
      </c>
      <c r="BY68"/>
      <c r="BZ68" s="5" t="str">
        <f t="shared" si="34"/>
        <v>X</v>
      </c>
      <c r="CA68" s="5" t="str">
        <f t="shared" si="35"/>
        <v>X</v>
      </c>
      <c r="CB68" s="188" t="str">
        <f t="shared" si="36"/>
        <v/>
      </c>
    </row>
    <row r="69" spans="1:80" s="27" customFormat="1" ht="30" customHeight="1" x14ac:dyDescent="0.55000000000000004">
      <c r="A69" s="104">
        <v>65</v>
      </c>
      <c r="B69" s="104" t="s">
        <v>75</v>
      </c>
      <c r="C69" s="111" t="s">
        <v>863</v>
      </c>
      <c r="D69" s="104" t="s">
        <v>864</v>
      </c>
      <c r="E69" s="104" t="s">
        <v>865</v>
      </c>
      <c r="F69" s="104" t="s">
        <v>866</v>
      </c>
      <c r="G69" s="104" t="s">
        <v>867</v>
      </c>
      <c r="H69" s="104" t="s">
        <v>868</v>
      </c>
      <c r="I69" s="104"/>
      <c r="J69" s="104" t="s">
        <v>831</v>
      </c>
      <c r="K69" s="104" t="s">
        <v>292</v>
      </c>
      <c r="L69" s="104"/>
      <c r="M69" s="104"/>
      <c r="N69" s="104"/>
      <c r="O69" s="104" t="s">
        <v>85</v>
      </c>
      <c r="P69" s="104"/>
      <c r="Q69" s="102"/>
      <c r="R69" s="104" t="s">
        <v>85</v>
      </c>
      <c r="S69" s="104" t="s">
        <v>869</v>
      </c>
      <c r="T69" s="104"/>
      <c r="U69" s="104" t="s">
        <v>870</v>
      </c>
      <c r="V69" s="104" t="s">
        <v>88</v>
      </c>
      <c r="W69" s="104" t="s">
        <v>871</v>
      </c>
      <c r="X69" s="104" t="s">
        <v>423</v>
      </c>
      <c r="Y69" s="104" t="s">
        <v>872</v>
      </c>
      <c r="Z69" s="104" t="s">
        <v>873</v>
      </c>
      <c r="AA69" s="104">
        <v>25</v>
      </c>
      <c r="AB69" s="128">
        <f>LOG(9550)</f>
        <v>3.9800033715837464</v>
      </c>
      <c r="AC69" s="104" t="s">
        <v>874</v>
      </c>
      <c r="AD69" s="104" t="s">
        <v>875</v>
      </c>
      <c r="AE69"/>
      <c r="AF69" s="30" cm="1">
        <f t="array" ref="AF69">_xlfn.IFS(COUNTIF(Table14623576[[#This Row],[PBT/ vPvB]],"*X*"), 20, TRUE, "")</f>
        <v>20</v>
      </c>
      <c r="AG69" s="30" t="str" cm="1">
        <f t="array" ref="AG69">_xlfn.IFS(COUNTIF(Table14623576[[#This Row],[Perturbateur Endocrinien]],"*X*"), 20, TRUE, "")</f>
        <v/>
      </c>
      <c r="AH69" s="30" t="str" cm="1">
        <f t="array" ref="AH69">_xlfn.IFS(COUNTIF(Table14623576[[#This Row],[Phrases H]],"*H350*"), 20, TRUE, "")</f>
        <v/>
      </c>
      <c r="AI69" s="30" cm="1">
        <f t="array" ref="AI69">_xlfn.IFS(COUNTIF(Table14623576[[#This Row],[Phrases H]],"*H360*"), 20, TRUE, "")</f>
        <v>20</v>
      </c>
      <c r="AJ69" s="30" t="str" cm="1">
        <f t="array" ref="AJ69">_xlfn.IFS(COUNTIF(Table14623576[[#This Row],[Phrases H]],"*H340*"), 20, TRUE, "")</f>
        <v/>
      </c>
      <c r="AK69" s="30" t="str" cm="1">
        <f t="array" ref="AK69">_xlfn.IFS(COUNTIF(Table14623576[[#This Row],[Phrases H]],"*H351*"), 10, TRUE, "")</f>
        <v/>
      </c>
      <c r="AL69" s="30" t="str" cm="1">
        <f t="array" ref="AL69">_xlfn.IFS(COUNTIF(Table14623576[[#This Row],[Phrases H]],"*H361*"), 10, TRUE, "")</f>
        <v/>
      </c>
      <c r="AM69" s="30" t="str" cm="1">
        <f t="array" ref="AM69">_xlfn.IFS(COUNTIF(Table14623576[[#This Row],[Phrases H]],"*H362*"), 10, TRUE, "")</f>
        <v/>
      </c>
      <c r="AN69" s="30" t="str" cm="1">
        <f t="array" ref="AN69">_xlfn.IFS(COUNTIF(Table14623576[[#This Row],[Phrases H]],"*H341*"), 10, TRUE, "")</f>
        <v/>
      </c>
      <c r="AO69" s="30" t="str" cm="1">
        <f t="array" ref="AO69">_xlfn.IFS(COUNTIF(Table14623576[[#This Row],[Phrases H]],"*H372*"), 10, TRUE, "")</f>
        <v/>
      </c>
      <c r="AP69" s="30" t="str" cm="1">
        <f t="array" ref="AP69">_xlfn.IFS(COUNTIF(Table14623576[[#This Row],[Phrases H]],"*H410*"), 10, TRUE, "")</f>
        <v/>
      </c>
      <c r="AQ69" s="30" t="str" cm="1">
        <f t="array" ref="AQ69">_xlfn.IFS(COUNTIF(Table14623576[[#This Row],[Phrases H]],"*H373*"), 5, TRUE, "")</f>
        <v/>
      </c>
      <c r="AR69" s="30" cm="1">
        <f t="array" ref="AR69">_xlfn.IFS(COUNTIF(Table14623576[[#This Row],[Phrases H]],"*H411*"), 5, TRUE, "")</f>
        <v>5</v>
      </c>
      <c r="AS69" s="112">
        <f t="shared" si="12"/>
        <v>45</v>
      </c>
      <c r="AT69" s="129">
        <f>LOG(9550)</f>
        <v>3.9800033715837464</v>
      </c>
      <c r="AU69" s="113">
        <v>0.43</v>
      </c>
      <c r="AV69" s="114">
        <f t="shared" ref="AV69:AV132" si="41">IF(AU69="N/A","N/A",IF(AU69&gt;=100000,50,(IF(AU69&gt;=1000,40,(IF(AU69&gt;=10,30,(IF(AU69&gt;0.1,20,(IF(AU69&lt;0.1,10,0))))))))))</f>
        <v>20</v>
      </c>
      <c r="AW69" s="115" t="str">
        <f t="shared" si="40"/>
        <v>0</v>
      </c>
      <c r="AX69" s="116">
        <f t="shared" ref="AX69:AX100" si="42">AS69+AW69</f>
        <v>45</v>
      </c>
      <c r="AY69" s="117">
        <f t="shared" ref="AY69:AY100" si="43">AX69/85</f>
        <v>0.52941176470588236</v>
      </c>
      <c r="AZ69" s="118" t="str">
        <f t="shared" si="14"/>
        <v>3</v>
      </c>
      <c r="BA69" s="119" t="str">
        <f t="shared" ref="BA69:BA100" si="44">IF(AX69&lt;=17,"5",IF(AX69&lt;=34,"4",IF(AX69&lt;=51,"3",IF(AX69&lt;=68,"2","1"))))</f>
        <v>3</v>
      </c>
      <c r="BB69" s="32"/>
      <c r="BC69" s="113">
        <v>10000</v>
      </c>
      <c r="BD69" s="113" t="s">
        <v>97</v>
      </c>
      <c r="BE69" s="120">
        <f t="shared" si="22"/>
        <v>20</v>
      </c>
      <c r="BF69" s="121" t="str">
        <f t="shared" si="16"/>
        <v>Production élevée</v>
      </c>
      <c r="BG69" s="122" t="str">
        <f t="shared" si="17"/>
        <v>B</v>
      </c>
      <c r="BH69" s="32"/>
      <c r="BI69" s="7"/>
      <c r="BJ69" s="5">
        <v>0</v>
      </c>
      <c r="BK69" s="7"/>
      <c r="BL69" s="131">
        <v>0</v>
      </c>
      <c r="BM69" s="132" t="s">
        <v>99</v>
      </c>
      <c r="BN69"/>
      <c r="BO69" s="60" t="str">
        <f t="shared" si="38"/>
        <v>Catégorie 3B NON</v>
      </c>
      <c r="BP69"/>
      <c r="BQ69" s="42" t="s">
        <v>88</v>
      </c>
      <c r="BR69"/>
      <c r="BS69" s="187" t="str">
        <f t="shared" ref="BS69:BS100" si="45">IF(AY69&gt;=0.4,"X","")</f>
        <v>X</v>
      </c>
      <c r="BT69" s="19" t="str">
        <f t="shared" ref="BT69:BT100" si="46">IF(AY69&gt;=0.5,"X","")</f>
        <v>X</v>
      </c>
      <c r="BU69" s="19" t="str">
        <f t="shared" ref="BU69:BU100" si="47">IF(AY69&gt;=0.6,"X","")</f>
        <v/>
      </c>
      <c r="BV69" s="10"/>
      <c r="BW69" s="5" t="str">
        <f t="shared" ref="BW69:BW100" si="48">IF(OR(BG69="D", BG69="E"), "X", "")</f>
        <v/>
      </c>
      <c r="BX69" s="5" t="str">
        <f t="shared" ref="BX69:BX100" si="49">IF(BM69="OUI", "X", "")</f>
        <v/>
      </c>
      <c r="BY69"/>
      <c r="BZ69" s="5" t="str">
        <f t="shared" ref="BZ69:BZ100" si="50">IF(OR(AND(BS69="X", BW69&lt;&gt;"X"), AND(BX69="X")), "X", "")</f>
        <v>X</v>
      </c>
      <c r="CA69" s="5" t="str">
        <f t="shared" ref="CA69:CA100" si="51">IF(OR(AND(BT69="X", BW69&lt;&gt;"X"), AND(BX69="X")), "X", "")</f>
        <v>X</v>
      </c>
      <c r="CB69" s="188" t="str">
        <f t="shared" ref="CB69:CB100" si="52">IF(OR(AND(BU69="X", BW69&lt;&gt;"X"), AND(BX69="X")), "X", "")</f>
        <v/>
      </c>
    </row>
    <row r="70" spans="1:80" s="27" customFormat="1" ht="30" customHeight="1" x14ac:dyDescent="0.55000000000000004">
      <c r="A70" s="104">
        <v>66</v>
      </c>
      <c r="B70" s="104" t="s">
        <v>75</v>
      </c>
      <c r="C70" s="111" t="s">
        <v>876</v>
      </c>
      <c r="D70" s="104" t="s">
        <v>877</v>
      </c>
      <c r="E70" s="104" t="s">
        <v>878</v>
      </c>
      <c r="F70" s="104" t="s">
        <v>879</v>
      </c>
      <c r="G70" s="104" t="s">
        <v>880</v>
      </c>
      <c r="H70" s="104" t="s">
        <v>881</v>
      </c>
      <c r="I70" s="104" t="s">
        <v>605</v>
      </c>
      <c r="J70" s="104" t="s">
        <v>882</v>
      </c>
      <c r="K70" s="104" t="s">
        <v>644</v>
      </c>
      <c r="L70" s="104"/>
      <c r="M70" s="104"/>
      <c r="N70" s="104"/>
      <c r="O70" s="104" t="s">
        <v>85</v>
      </c>
      <c r="P70" s="104"/>
      <c r="Q70" s="102"/>
      <c r="R70" s="104" t="s">
        <v>85</v>
      </c>
      <c r="S70" s="104" t="s">
        <v>86</v>
      </c>
      <c r="T70" s="104" t="s">
        <v>85</v>
      </c>
      <c r="U70" s="104" t="s">
        <v>883</v>
      </c>
      <c r="V70" s="104" t="s">
        <v>173</v>
      </c>
      <c r="W70" s="104" t="s">
        <v>884</v>
      </c>
      <c r="X70" s="104" t="s">
        <v>335</v>
      </c>
      <c r="Y70" s="104" t="s">
        <v>885</v>
      </c>
      <c r="Z70" s="104" t="s">
        <v>886</v>
      </c>
      <c r="AA70" s="104">
        <v>20</v>
      </c>
      <c r="AB70" s="128">
        <f>LOG(13.49)</f>
        <v>1.1300119496719043</v>
      </c>
      <c r="AC70" s="104" t="s">
        <v>887</v>
      </c>
      <c r="AD70" s="104" t="s">
        <v>888</v>
      </c>
      <c r="AE70"/>
      <c r="AF70" s="30" cm="1">
        <f t="array" ref="AF70">_xlfn.IFS(COUNTIF(Table14623576[[#This Row],[PBT/ vPvB]],"*X*"), 20, TRUE, "")</f>
        <v>20</v>
      </c>
      <c r="AG70" s="30" cm="1">
        <f t="array" ref="AG70">_xlfn.IFS(COUNTIF(Table14623576[[#This Row],[Perturbateur Endocrinien]],"*X*"), 20, TRUE, "")</f>
        <v>20</v>
      </c>
      <c r="AH70" s="30" t="str" cm="1">
        <f t="array" ref="AH70">_xlfn.IFS(COUNTIF(Table14623576[[#This Row],[Phrases H]],"*H350*"), 20, TRUE, "")</f>
        <v/>
      </c>
      <c r="AI70" s="30" t="str" cm="1">
        <f t="array" ref="AI70">_xlfn.IFS(COUNTIF(Table14623576[[#This Row],[Phrases H]],"*H360*"), 20, TRUE, "")</f>
        <v/>
      </c>
      <c r="AJ70" s="30" t="str" cm="1">
        <f t="array" ref="AJ70">_xlfn.IFS(COUNTIF(Table14623576[[#This Row],[Phrases H]],"*H340*"), 20, TRUE, "")</f>
        <v/>
      </c>
      <c r="AK70" s="30" cm="1">
        <f t="array" ref="AK70">_xlfn.IFS(COUNTIF(Table14623576[[#This Row],[Phrases H]],"*H351*"), 10, TRUE, "")</f>
        <v>10</v>
      </c>
      <c r="AL70" s="30" cm="1">
        <f t="array" ref="AL70">_xlfn.IFS(COUNTIF(Table14623576[[#This Row],[Phrases H]],"*H361*"), 10, TRUE, "")</f>
        <v>10</v>
      </c>
      <c r="AM70" s="30" t="str" cm="1">
        <f t="array" ref="AM70">_xlfn.IFS(COUNTIF(Table14623576[[#This Row],[Phrases H]],"*H362*"), 10, TRUE, "")</f>
        <v/>
      </c>
      <c r="AN70" s="30" t="str" cm="1">
        <f t="array" ref="AN70">_xlfn.IFS(COUNTIF(Table14623576[[#This Row],[Phrases H]],"*H341*"), 10, TRUE, "")</f>
        <v/>
      </c>
      <c r="AO70" s="30" t="str" cm="1">
        <f t="array" ref="AO70">_xlfn.IFS(COUNTIF(Table14623576[[#This Row],[Phrases H]],"*H372*"), 10, TRUE, "")</f>
        <v/>
      </c>
      <c r="AP70" s="30" t="str" cm="1">
        <f t="array" ref="AP70">_xlfn.IFS(COUNTIF(Table14623576[[#This Row],[Phrases H]],"*H410*"), 10, TRUE, "")</f>
        <v/>
      </c>
      <c r="AQ70" s="30" cm="1">
        <f t="array" ref="AQ70">_xlfn.IFS(COUNTIF(Table14623576[[#This Row],[Phrases H]],"*H373*"), 5, TRUE, "")</f>
        <v>5</v>
      </c>
      <c r="AR70" s="30" t="str" cm="1">
        <f t="array" ref="AR70">_xlfn.IFS(COUNTIF(Table14623576[[#This Row],[Phrases H]],"*H411*"), 5, TRUE, "")</f>
        <v/>
      </c>
      <c r="AS70" s="112">
        <f t="shared" ref="AS70:AS133" si="53">SUM(AF70:AR70)</f>
        <v>65</v>
      </c>
      <c r="AT70" s="129">
        <f>LOG(13.49)</f>
        <v>1.1300119496719043</v>
      </c>
      <c r="AU70" s="113">
        <v>3480</v>
      </c>
      <c r="AV70" s="114">
        <f t="shared" si="41"/>
        <v>40</v>
      </c>
      <c r="AW70" s="115" t="str">
        <f t="shared" si="40"/>
        <v>20</v>
      </c>
      <c r="AX70" s="116">
        <f t="shared" si="42"/>
        <v>85</v>
      </c>
      <c r="AY70" s="117">
        <f t="shared" si="43"/>
        <v>1</v>
      </c>
      <c r="AZ70" s="118" t="str">
        <f t="shared" ref="AZ70:AZ133" si="54">IF(AY70&lt;=0.2,"5",IF(AY70&lt;=0.4,"4",IF(AY70&lt;=0.6,"3",IF(AY70&lt;=0.8,"2","1"))))</f>
        <v>1</v>
      </c>
      <c r="BA70" s="119" t="str">
        <f t="shared" si="44"/>
        <v>1</v>
      </c>
      <c r="BB70" s="32"/>
      <c r="BC70" s="113">
        <v>1000000</v>
      </c>
      <c r="BD70" s="113" t="s">
        <v>97</v>
      </c>
      <c r="BE70" s="120">
        <f t="shared" si="22"/>
        <v>25</v>
      </c>
      <c r="BF70" s="121" t="str">
        <f t="shared" ref="BF70:BF133" si="55">IF(BE70=25,"Production très élevée",IF(BE70=20,"Production élevée",IF(BE70=15,"Production modérée",IF(BE70=10,"Faible production",IF(BE70=5,"Très faible production","N/A")))))</f>
        <v>Production très élevée</v>
      </c>
      <c r="BG70" s="122" t="str">
        <f t="shared" ref="BG70:BG133" si="56">IF(BE70&lt;=5,"E",IF(BE70&lt;=10,"D",IF(BE70&lt;=15,"C",IF(BE70&lt;=20,"B","A"))))</f>
        <v>A</v>
      </c>
      <c r="BH70" s="32"/>
      <c r="BI70" s="7" t="s">
        <v>889</v>
      </c>
      <c r="BJ70" s="133">
        <v>1</v>
      </c>
      <c r="BK70" s="7" t="s">
        <v>889</v>
      </c>
      <c r="BL70" s="131">
        <v>1</v>
      </c>
      <c r="BM70" s="119" t="s">
        <v>131</v>
      </c>
      <c r="BN70"/>
      <c r="BO70" s="60" t="str">
        <f t="shared" ref="BO70:BO128" si="57">_xlfn.CONCAT("Catégorie ", BA70,BG70,BM70)</f>
        <v>Catégorie 1AOUI</v>
      </c>
      <c r="BP70"/>
      <c r="BQ70" s="42" t="s">
        <v>88</v>
      </c>
      <c r="BR70"/>
      <c r="BS70" s="187" t="str">
        <f t="shared" si="45"/>
        <v>X</v>
      </c>
      <c r="BT70" s="19" t="str">
        <f t="shared" si="46"/>
        <v>X</v>
      </c>
      <c r="BU70" s="19" t="str">
        <f t="shared" si="47"/>
        <v>X</v>
      </c>
      <c r="BV70" s="10"/>
      <c r="BW70" s="5" t="str">
        <f t="shared" si="48"/>
        <v/>
      </c>
      <c r="BX70" s="5" t="str">
        <f t="shared" si="49"/>
        <v>X</v>
      </c>
      <c r="BY70"/>
      <c r="BZ70" s="5" t="str">
        <f t="shared" si="50"/>
        <v>X</v>
      </c>
      <c r="CA70" s="5" t="str">
        <f t="shared" si="51"/>
        <v>X</v>
      </c>
      <c r="CB70" s="188" t="str">
        <f t="shared" si="52"/>
        <v>X</v>
      </c>
    </row>
    <row r="71" spans="1:80" s="27" customFormat="1" ht="30" customHeight="1" x14ac:dyDescent="0.55000000000000004">
      <c r="A71" s="104">
        <v>67</v>
      </c>
      <c r="B71" s="104" t="s">
        <v>75</v>
      </c>
      <c r="C71" s="111" t="s">
        <v>890</v>
      </c>
      <c r="D71" s="104" t="s">
        <v>891</v>
      </c>
      <c r="E71" s="104" t="s">
        <v>892</v>
      </c>
      <c r="F71" s="104" t="s">
        <v>893</v>
      </c>
      <c r="G71" s="104" t="s">
        <v>894</v>
      </c>
      <c r="H71" s="104" t="s">
        <v>895</v>
      </c>
      <c r="I71" s="104"/>
      <c r="J71" s="104" t="s">
        <v>896</v>
      </c>
      <c r="K71" s="104" t="s">
        <v>292</v>
      </c>
      <c r="L71" s="104"/>
      <c r="M71" s="104"/>
      <c r="N71" s="104"/>
      <c r="O71" s="104"/>
      <c r="P71" s="104" t="s">
        <v>85</v>
      </c>
      <c r="Q71" s="102"/>
      <c r="R71" s="104"/>
      <c r="S71" s="104" t="s">
        <v>345</v>
      </c>
      <c r="T71" s="104"/>
      <c r="U71" s="104" t="s">
        <v>897</v>
      </c>
      <c r="V71" s="104" t="s">
        <v>88</v>
      </c>
      <c r="W71" s="104" t="s">
        <v>898</v>
      </c>
      <c r="X71" s="104" t="s">
        <v>899</v>
      </c>
      <c r="Y71" s="104" t="s">
        <v>900</v>
      </c>
      <c r="Z71" s="104" t="s">
        <v>901</v>
      </c>
      <c r="AA71" s="104">
        <v>25</v>
      </c>
      <c r="AB71" s="128">
        <f>LOG(141)</f>
        <v>2.1492191126553797</v>
      </c>
      <c r="AC71" s="104" t="s">
        <v>902</v>
      </c>
      <c r="AD71" s="104" t="s">
        <v>637</v>
      </c>
      <c r="AE71"/>
      <c r="AF71" s="30" t="str" cm="1">
        <f t="array" ref="AF71">_xlfn.IFS(COUNTIF(Table14623576[[#This Row],[PBT/ vPvB]],"*X*"), 20, TRUE, "")</f>
        <v/>
      </c>
      <c r="AG71" s="30" t="str" cm="1">
        <f t="array" ref="AG71">_xlfn.IFS(COUNTIF(Table14623576[[#This Row],[Perturbateur Endocrinien]],"*X*"), 20, TRUE, "")</f>
        <v/>
      </c>
      <c r="AH71" s="30" t="str" cm="1">
        <f t="array" ref="AH71">_xlfn.IFS(COUNTIF(Table14623576[[#This Row],[Phrases H]],"*H350*"), 20, TRUE, "")</f>
        <v/>
      </c>
      <c r="AI71" s="30" t="str" cm="1">
        <f t="array" ref="AI71">_xlfn.IFS(COUNTIF(Table14623576[[#This Row],[Phrases H]],"*H360*"), 20, TRUE, "")</f>
        <v/>
      </c>
      <c r="AJ71" s="30" t="str" cm="1">
        <f t="array" ref="AJ71">_xlfn.IFS(COUNTIF(Table14623576[[#This Row],[Phrases H]],"*H340*"), 20, TRUE, "")</f>
        <v/>
      </c>
      <c r="AK71" s="30" t="str" cm="1">
        <f t="array" ref="AK71">_xlfn.IFS(COUNTIF(Table14623576[[#This Row],[Phrases H]],"*H351*"), 10, TRUE, "")</f>
        <v/>
      </c>
      <c r="AL71" s="30" t="str" cm="1">
        <f t="array" ref="AL71">_xlfn.IFS(COUNTIF(Table14623576[[#This Row],[Phrases H]],"*H361*"), 10, TRUE, "")</f>
        <v/>
      </c>
      <c r="AM71" s="30" t="str" cm="1">
        <f t="array" ref="AM71">_xlfn.IFS(COUNTIF(Table14623576[[#This Row],[Phrases H]],"*H362*"), 10, TRUE, "")</f>
        <v/>
      </c>
      <c r="AN71" s="30" t="str" cm="1">
        <f t="array" ref="AN71">_xlfn.IFS(COUNTIF(Table14623576[[#This Row],[Phrases H]],"*H341*"), 10, TRUE, "")</f>
        <v/>
      </c>
      <c r="AO71" s="30" t="str" cm="1">
        <f t="array" ref="AO71">_xlfn.IFS(COUNTIF(Table14623576[[#This Row],[Phrases H]],"*H372*"), 10, TRUE, "")</f>
        <v/>
      </c>
      <c r="AP71" s="30" t="str" cm="1">
        <f t="array" ref="AP71">_xlfn.IFS(COUNTIF(Table14623576[[#This Row],[Phrases H]],"*H410*"), 10, TRUE, "")</f>
        <v/>
      </c>
      <c r="AQ71" s="30" t="str" cm="1">
        <f t="array" ref="AQ71">_xlfn.IFS(COUNTIF(Table14623576[[#This Row],[Phrases H]],"*H373*"), 5, TRUE, "")</f>
        <v/>
      </c>
      <c r="AR71" s="30" t="str" cm="1">
        <f t="array" ref="AR71">_xlfn.IFS(COUNTIF(Table14623576[[#This Row],[Phrases H]],"*H411*"), 5, TRUE, "")</f>
        <v/>
      </c>
      <c r="AS71" s="112">
        <f t="shared" si="53"/>
        <v>0</v>
      </c>
      <c r="AT71" s="129">
        <f>LOG(141)</f>
        <v>2.1492191126553797</v>
      </c>
      <c r="AU71" s="113">
        <v>270</v>
      </c>
      <c r="AV71" s="114">
        <f t="shared" si="41"/>
        <v>30</v>
      </c>
      <c r="AW71" s="115" t="str">
        <f t="shared" si="40"/>
        <v>10</v>
      </c>
      <c r="AX71" s="116">
        <f t="shared" si="42"/>
        <v>10</v>
      </c>
      <c r="AY71" s="117">
        <f t="shared" si="43"/>
        <v>0.11764705882352941</v>
      </c>
      <c r="AZ71" s="118" t="str">
        <f t="shared" si="54"/>
        <v>5</v>
      </c>
      <c r="BA71" s="119" t="str">
        <f t="shared" si="44"/>
        <v>5</v>
      </c>
      <c r="BB71" s="32"/>
      <c r="BC71" s="113">
        <v>10000</v>
      </c>
      <c r="BD71" s="113" t="s">
        <v>97</v>
      </c>
      <c r="BE71" s="120">
        <f t="shared" si="22"/>
        <v>20</v>
      </c>
      <c r="BF71" s="121" t="str">
        <f t="shared" si="55"/>
        <v>Production élevée</v>
      </c>
      <c r="BG71" s="122" t="str">
        <f t="shared" si="56"/>
        <v>B</v>
      </c>
      <c r="BH71" s="32"/>
      <c r="BI71" s="7" t="s">
        <v>889</v>
      </c>
      <c r="BJ71" s="130">
        <v>1</v>
      </c>
      <c r="BK71" s="7"/>
      <c r="BL71" s="131">
        <v>0</v>
      </c>
      <c r="BM71" s="132" t="s">
        <v>99</v>
      </c>
      <c r="BN71"/>
      <c r="BO71" s="60" t="str">
        <f t="shared" ref="BO71:BO111" si="58">_xlfn.CONCAT("Catégorie ", BA71,BG71," ",BM71)</f>
        <v>Catégorie 5B NON</v>
      </c>
      <c r="BP71"/>
      <c r="BQ71" s="42" t="s">
        <v>88</v>
      </c>
      <c r="BR71"/>
      <c r="BS71" s="187" t="str">
        <f t="shared" si="45"/>
        <v/>
      </c>
      <c r="BT71" s="19" t="str">
        <f t="shared" si="46"/>
        <v/>
      </c>
      <c r="BU71" s="19" t="str">
        <f t="shared" si="47"/>
        <v/>
      </c>
      <c r="BV71" s="10"/>
      <c r="BW71" s="5" t="str">
        <f t="shared" si="48"/>
        <v/>
      </c>
      <c r="BX71" s="5" t="str">
        <f t="shared" si="49"/>
        <v/>
      </c>
      <c r="BY71"/>
      <c r="BZ71" s="5" t="str">
        <f t="shared" si="50"/>
        <v/>
      </c>
      <c r="CA71" s="5" t="str">
        <f t="shared" si="51"/>
        <v/>
      </c>
      <c r="CB71" s="188" t="str">
        <f t="shared" si="52"/>
        <v/>
      </c>
    </row>
    <row r="72" spans="1:80" s="27" customFormat="1" ht="30" customHeight="1" x14ac:dyDescent="0.55000000000000004">
      <c r="A72" s="104">
        <v>68</v>
      </c>
      <c r="B72" s="104" t="s">
        <v>75</v>
      </c>
      <c r="C72" s="111" t="s">
        <v>903</v>
      </c>
      <c r="D72" s="104" t="s">
        <v>904</v>
      </c>
      <c r="E72" s="104" t="s">
        <v>905</v>
      </c>
      <c r="F72" s="104" t="s">
        <v>906</v>
      </c>
      <c r="G72" s="104" t="s">
        <v>907</v>
      </c>
      <c r="H72" s="104" t="s">
        <v>908</v>
      </c>
      <c r="I72" s="104" t="s">
        <v>512</v>
      </c>
      <c r="J72" s="104" t="s">
        <v>909</v>
      </c>
      <c r="K72" s="104" t="s">
        <v>910</v>
      </c>
      <c r="L72" s="104"/>
      <c r="M72" s="104"/>
      <c r="N72" s="104"/>
      <c r="O72" s="104"/>
      <c r="P72" s="104" t="s">
        <v>85</v>
      </c>
      <c r="Q72" s="102"/>
      <c r="R72" s="104"/>
      <c r="S72" s="104" t="s">
        <v>88</v>
      </c>
      <c r="T72" s="104"/>
      <c r="U72" s="104" t="s">
        <v>108</v>
      </c>
      <c r="V72" s="104" t="s">
        <v>88</v>
      </c>
      <c r="W72" s="104" t="s">
        <v>911</v>
      </c>
      <c r="X72" s="104" t="s">
        <v>912</v>
      </c>
      <c r="Y72" s="104" t="s">
        <v>93</v>
      </c>
      <c r="Z72" s="104" t="s">
        <v>913</v>
      </c>
      <c r="AA72" s="104" t="s">
        <v>93</v>
      </c>
      <c r="AB72" s="128">
        <f>LOG(3.89)</f>
        <v>0.58994960132570773</v>
      </c>
      <c r="AC72" s="104" t="s">
        <v>914</v>
      </c>
      <c r="AD72" s="104" t="s">
        <v>283</v>
      </c>
      <c r="AE72"/>
      <c r="AF72" s="30" t="str" cm="1">
        <f t="array" ref="AF72">_xlfn.IFS(COUNTIF(Table14623576[[#This Row],[PBT/ vPvB]],"*X*"), 20, TRUE, "")</f>
        <v/>
      </c>
      <c r="AG72" s="30" t="str" cm="1">
        <f t="array" ref="AG72">_xlfn.IFS(COUNTIF(Table14623576[[#This Row],[Perturbateur Endocrinien]],"*X*"), 20, TRUE, "")</f>
        <v/>
      </c>
      <c r="AH72" s="30" t="str" cm="1">
        <f t="array" ref="AH72">_xlfn.IFS(COUNTIF(Table14623576[[#This Row],[Phrases H]],"*H350*"), 20, TRUE, "")</f>
        <v/>
      </c>
      <c r="AI72" s="30" t="str" cm="1">
        <f t="array" ref="AI72">_xlfn.IFS(COUNTIF(Table14623576[[#This Row],[Phrases H]],"*H360*"), 20, TRUE, "")</f>
        <v/>
      </c>
      <c r="AJ72" s="30" t="str" cm="1">
        <f t="array" ref="AJ72">_xlfn.IFS(COUNTIF(Table14623576[[#This Row],[Phrases H]],"*H340*"), 20, TRUE, "")</f>
        <v/>
      </c>
      <c r="AK72" s="30" t="str" cm="1">
        <f t="array" ref="AK72">_xlfn.IFS(COUNTIF(Table14623576[[#This Row],[Phrases H]],"*H351*"), 10, TRUE, "")</f>
        <v/>
      </c>
      <c r="AL72" s="30" t="str" cm="1">
        <f t="array" ref="AL72">_xlfn.IFS(COUNTIF(Table14623576[[#This Row],[Phrases H]],"*H361*"), 10, TRUE, "")</f>
        <v/>
      </c>
      <c r="AM72" s="30" t="str" cm="1">
        <f t="array" ref="AM72">_xlfn.IFS(COUNTIF(Table14623576[[#This Row],[Phrases H]],"*H362*"), 10, TRUE, "")</f>
        <v/>
      </c>
      <c r="AN72" s="30" t="str" cm="1">
        <f t="array" ref="AN72">_xlfn.IFS(COUNTIF(Table14623576[[#This Row],[Phrases H]],"*H341*"), 10, TRUE, "")</f>
        <v/>
      </c>
      <c r="AO72" s="30" t="str" cm="1">
        <f t="array" ref="AO72">_xlfn.IFS(COUNTIF(Table14623576[[#This Row],[Phrases H]],"*H372*"), 10, TRUE, "")</f>
        <v/>
      </c>
      <c r="AP72" s="30" t="str" cm="1">
        <f t="array" ref="AP72">_xlfn.IFS(COUNTIF(Table14623576[[#This Row],[Phrases H]],"*H410*"), 10, TRUE, "")</f>
        <v/>
      </c>
      <c r="AQ72" s="30" t="str" cm="1">
        <f t="array" ref="AQ72">_xlfn.IFS(COUNTIF(Table14623576[[#This Row],[Phrases H]],"*H373*"), 5, TRUE, "")</f>
        <v/>
      </c>
      <c r="AR72" s="30" t="str" cm="1">
        <f t="array" ref="AR72">_xlfn.IFS(COUNTIF(Table14623576[[#This Row],[Phrases H]],"*H411*"), 5, TRUE, "")</f>
        <v/>
      </c>
      <c r="AS72" s="112">
        <f t="shared" si="53"/>
        <v>0</v>
      </c>
      <c r="AT72" s="129">
        <f>LOG(3.89)</f>
        <v>0.58994960132570773</v>
      </c>
      <c r="AU72" s="113">
        <v>93400</v>
      </c>
      <c r="AV72" s="114">
        <f t="shared" si="41"/>
        <v>40</v>
      </c>
      <c r="AW72" s="115" t="str">
        <f t="shared" si="40"/>
        <v>20</v>
      </c>
      <c r="AX72" s="116">
        <f t="shared" si="42"/>
        <v>20</v>
      </c>
      <c r="AY72" s="117">
        <f t="shared" si="43"/>
        <v>0.23529411764705882</v>
      </c>
      <c r="AZ72" s="118" t="str">
        <f t="shared" si="54"/>
        <v>4</v>
      </c>
      <c r="BA72" s="119" t="str">
        <f t="shared" si="44"/>
        <v>4</v>
      </c>
      <c r="BB72" s="32"/>
      <c r="BC72" s="113">
        <v>10000000</v>
      </c>
      <c r="BD72" s="113" t="s">
        <v>97</v>
      </c>
      <c r="BE72" s="120">
        <f t="shared" si="22"/>
        <v>25</v>
      </c>
      <c r="BF72" s="121" t="str">
        <f t="shared" si="55"/>
        <v>Production très élevée</v>
      </c>
      <c r="BG72" s="122" t="str">
        <f t="shared" si="56"/>
        <v>A</v>
      </c>
      <c r="BH72" s="32"/>
      <c r="BI72" s="7"/>
      <c r="BJ72" s="5">
        <v>0</v>
      </c>
      <c r="BK72" s="7"/>
      <c r="BL72" s="131">
        <v>0</v>
      </c>
      <c r="BM72" s="132" t="s">
        <v>99</v>
      </c>
      <c r="BN72"/>
      <c r="BO72" s="60" t="str">
        <f t="shared" si="58"/>
        <v>Catégorie 4A NON</v>
      </c>
      <c r="BP72"/>
      <c r="BQ72" s="42" t="s">
        <v>88</v>
      </c>
      <c r="BR72"/>
      <c r="BS72" s="187" t="str">
        <f t="shared" si="45"/>
        <v/>
      </c>
      <c r="BT72" s="19" t="str">
        <f t="shared" si="46"/>
        <v/>
      </c>
      <c r="BU72" s="19" t="str">
        <f t="shared" si="47"/>
        <v/>
      </c>
      <c r="BV72" s="10"/>
      <c r="BW72" s="5" t="str">
        <f t="shared" si="48"/>
        <v/>
      </c>
      <c r="BX72" s="5" t="str">
        <f t="shared" si="49"/>
        <v/>
      </c>
      <c r="BY72"/>
      <c r="BZ72" s="5" t="str">
        <f t="shared" si="50"/>
        <v/>
      </c>
      <c r="CA72" s="5" t="str">
        <f t="shared" si="51"/>
        <v/>
      </c>
      <c r="CB72" s="188" t="str">
        <f t="shared" si="52"/>
        <v/>
      </c>
    </row>
    <row r="73" spans="1:80" s="27" customFormat="1" ht="30" customHeight="1" x14ac:dyDescent="0.55000000000000004">
      <c r="A73" s="104">
        <v>69</v>
      </c>
      <c r="B73" s="104" t="s">
        <v>75</v>
      </c>
      <c r="C73" s="111" t="s">
        <v>915</v>
      </c>
      <c r="D73" s="104" t="s">
        <v>916</v>
      </c>
      <c r="E73" s="104" t="s">
        <v>917</v>
      </c>
      <c r="F73" s="104" t="s">
        <v>918</v>
      </c>
      <c r="G73" s="104" t="s">
        <v>919</v>
      </c>
      <c r="H73" s="104" t="s">
        <v>920</v>
      </c>
      <c r="I73" s="104" t="s">
        <v>332</v>
      </c>
      <c r="J73" s="104" t="s">
        <v>921</v>
      </c>
      <c r="K73" s="104" t="s">
        <v>579</v>
      </c>
      <c r="L73" s="104"/>
      <c r="M73" s="104"/>
      <c r="N73" s="104"/>
      <c r="O73" s="104"/>
      <c r="P73" s="104"/>
      <c r="Q73" s="102"/>
      <c r="R73" s="104"/>
      <c r="S73" s="104" t="s">
        <v>86</v>
      </c>
      <c r="T73" s="104"/>
      <c r="U73" s="104" t="s">
        <v>922</v>
      </c>
      <c r="V73" s="104" t="s">
        <v>173</v>
      </c>
      <c r="W73" s="104" t="s">
        <v>923</v>
      </c>
      <c r="X73" s="104" t="s">
        <v>924</v>
      </c>
      <c r="Y73" s="104" t="s">
        <v>925</v>
      </c>
      <c r="Z73" s="104" t="s">
        <v>926</v>
      </c>
      <c r="AA73" s="104" t="s">
        <v>93</v>
      </c>
      <c r="AB73" s="128">
        <f>LOG(5.14)</f>
        <v>0.71096311899527576</v>
      </c>
      <c r="AC73" s="104" t="s">
        <v>927</v>
      </c>
      <c r="AD73" s="104" t="s">
        <v>928</v>
      </c>
      <c r="AE73"/>
      <c r="AF73" s="30" t="str" cm="1">
        <f t="array" ref="AF73">_xlfn.IFS(COUNTIF(Table14623576[[#This Row],[PBT/ vPvB]],"*X*"), 20, TRUE, "")</f>
        <v/>
      </c>
      <c r="AG73" s="30" t="str" cm="1">
        <f t="array" ref="AG73">_xlfn.IFS(COUNTIF(Table14623576[[#This Row],[Perturbateur Endocrinien]],"*X*"), 20, TRUE, "")</f>
        <v/>
      </c>
      <c r="AH73" s="30" t="str" cm="1">
        <f t="array" ref="AH73">_xlfn.IFS(COUNTIF(Table14623576[[#This Row],[Phrases H]],"*H350*"), 20, TRUE, "")</f>
        <v/>
      </c>
      <c r="AI73" s="30" t="str" cm="1">
        <f t="array" ref="AI73">_xlfn.IFS(COUNTIF(Table14623576[[#This Row],[Phrases H]],"*H360*"), 20, TRUE, "")</f>
        <v/>
      </c>
      <c r="AJ73" s="30" cm="1">
        <f t="array" ref="AJ73">_xlfn.IFS(COUNTIF(Table14623576[[#This Row],[Phrases H]],"*H340*"), 20, TRUE, "")</f>
        <v>20</v>
      </c>
      <c r="AK73" s="30" t="str" cm="1">
        <f t="array" ref="AK73">_xlfn.IFS(COUNTIF(Table14623576[[#This Row],[Phrases H]],"*H351*"), 10, TRUE, "")</f>
        <v/>
      </c>
      <c r="AL73" s="30" cm="1">
        <f t="array" ref="AL73">_xlfn.IFS(COUNTIF(Table14623576[[#This Row],[Phrases H]],"*H361*"), 10, TRUE, "")</f>
        <v>10</v>
      </c>
      <c r="AM73" s="30" t="str" cm="1">
        <f t="array" ref="AM73">_xlfn.IFS(COUNTIF(Table14623576[[#This Row],[Phrases H]],"*H362*"), 10, TRUE, "")</f>
        <v/>
      </c>
      <c r="AN73" s="30" t="str" cm="1">
        <f t="array" ref="AN73">_xlfn.IFS(COUNTIF(Table14623576[[#This Row],[Phrases H]],"*H341*"), 10, TRUE, "")</f>
        <v/>
      </c>
      <c r="AO73" s="30" t="str" cm="1">
        <f t="array" ref="AO73">_xlfn.IFS(COUNTIF(Table14623576[[#This Row],[Phrases H]],"*H372*"), 10, TRUE, "")</f>
        <v/>
      </c>
      <c r="AP73" s="30" t="str" cm="1">
        <f t="array" ref="AP73">_xlfn.IFS(COUNTIF(Table14623576[[#This Row],[Phrases H]],"*H410*"), 10, TRUE, "")</f>
        <v/>
      </c>
      <c r="AQ73" s="30" t="str" cm="1">
        <f t="array" ref="AQ73">_xlfn.IFS(COUNTIF(Table14623576[[#This Row],[Phrases H]],"*H373*"), 5, TRUE, "")</f>
        <v/>
      </c>
      <c r="AR73" s="30" t="str" cm="1">
        <f t="array" ref="AR73">_xlfn.IFS(COUNTIF(Table14623576[[#This Row],[Phrases H]],"*H411*"), 5, TRUE, "")</f>
        <v/>
      </c>
      <c r="AS73" s="112">
        <f t="shared" si="53"/>
        <v>30</v>
      </c>
      <c r="AT73" s="129">
        <f>LOG(5.14)</f>
        <v>0.71096311899527576</v>
      </c>
      <c r="AU73" s="113">
        <v>100000</v>
      </c>
      <c r="AV73" s="114">
        <f t="shared" si="41"/>
        <v>50</v>
      </c>
      <c r="AW73" s="115" t="str">
        <f t="shared" si="40"/>
        <v>20</v>
      </c>
      <c r="AX73" s="116">
        <f t="shared" si="42"/>
        <v>50</v>
      </c>
      <c r="AY73" s="117">
        <f t="shared" si="43"/>
        <v>0.58823529411764708</v>
      </c>
      <c r="AZ73" s="118" t="str">
        <f t="shared" si="54"/>
        <v>3</v>
      </c>
      <c r="BA73" s="119" t="str">
        <f t="shared" si="44"/>
        <v>3</v>
      </c>
      <c r="BB73" s="32"/>
      <c r="BC73" s="113" t="s">
        <v>256</v>
      </c>
      <c r="BD73" s="113" t="s">
        <v>97</v>
      </c>
      <c r="BE73" s="120">
        <f t="shared" si="22"/>
        <v>25</v>
      </c>
      <c r="BF73" s="121" t="str">
        <f t="shared" si="55"/>
        <v>Production très élevée</v>
      </c>
      <c r="BG73" s="122" t="str">
        <f t="shared" si="56"/>
        <v>A</v>
      </c>
      <c r="BH73" s="32"/>
      <c r="BI73" s="7"/>
      <c r="BJ73" s="5">
        <v>0</v>
      </c>
      <c r="BK73" s="7"/>
      <c r="BL73" s="131">
        <v>0</v>
      </c>
      <c r="BM73" s="132" t="s">
        <v>99</v>
      </c>
      <c r="BN73"/>
      <c r="BO73" s="60" t="str">
        <f t="shared" si="58"/>
        <v>Catégorie 3A NON</v>
      </c>
      <c r="BP73"/>
      <c r="BQ73" s="42" t="s">
        <v>88</v>
      </c>
      <c r="BR73"/>
      <c r="BS73" s="187" t="str">
        <f t="shared" si="45"/>
        <v>X</v>
      </c>
      <c r="BT73" s="19" t="str">
        <f t="shared" si="46"/>
        <v>X</v>
      </c>
      <c r="BU73" s="19" t="str">
        <f t="shared" si="47"/>
        <v/>
      </c>
      <c r="BV73" s="10"/>
      <c r="BW73" s="5" t="str">
        <f t="shared" si="48"/>
        <v/>
      </c>
      <c r="BX73" s="5" t="str">
        <f t="shared" si="49"/>
        <v/>
      </c>
      <c r="BY73"/>
      <c r="BZ73" s="5" t="str">
        <f t="shared" si="50"/>
        <v>X</v>
      </c>
      <c r="CA73" s="5" t="str">
        <f t="shared" si="51"/>
        <v>X</v>
      </c>
      <c r="CB73" s="188" t="str">
        <f t="shared" si="52"/>
        <v/>
      </c>
    </row>
    <row r="74" spans="1:80" s="27" customFormat="1" ht="30" customHeight="1" x14ac:dyDescent="0.55000000000000004">
      <c r="A74" s="104">
        <v>70</v>
      </c>
      <c r="B74" s="104" t="s">
        <v>75</v>
      </c>
      <c r="C74" s="111" t="s">
        <v>929</v>
      </c>
      <c r="D74" s="104" t="s">
        <v>930</v>
      </c>
      <c r="E74" s="104" t="s">
        <v>931</v>
      </c>
      <c r="F74" s="104" t="s">
        <v>932</v>
      </c>
      <c r="G74" s="104" t="s">
        <v>933</v>
      </c>
      <c r="H74" s="104" t="s">
        <v>934</v>
      </c>
      <c r="I74" s="104" t="s">
        <v>332</v>
      </c>
      <c r="J74" s="104" t="s">
        <v>921</v>
      </c>
      <c r="K74" s="104" t="s">
        <v>579</v>
      </c>
      <c r="L74" s="104"/>
      <c r="M74" s="104"/>
      <c r="N74" s="104"/>
      <c r="O74" s="104"/>
      <c r="P74" s="104"/>
      <c r="Q74" s="102"/>
      <c r="R74" s="104"/>
      <c r="S74" s="104" t="s">
        <v>86</v>
      </c>
      <c r="T74" s="104"/>
      <c r="U74" s="104" t="s">
        <v>935</v>
      </c>
      <c r="V74" s="104" t="s">
        <v>173</v>
      </c>
      <c r="W74" s="104" t="s">
        <v>936</v>
      </c>
      <c r="X74" s="104" t="s">
        <v>937</v>
      </c>
      <c r="Y74" s="104" t="s">
        <v>938</v>
      </c>
      <c r="Z74" s="104" t="s">
        <v>939</v>
      </c>
      <c r="AA74" s="104" t="s">
        <v>93</v>
      </c>
      <c r="AB74" s="128">
        <f>LOG(2.62)</f>
        <v>0.41830129131974547</v>
      </c>
      <c r="AC74" s="104" t="s">
        <v>940</v>
      </c>
      <c r="AD74" s="104" t="s">
        <v>941</v>
      </c>
      <c r="AE74"/>
      <c r="AF74" s="30" t="str" cm="1">
        <f t="array" ref="AF74">_xlfn.IFS(COUNTIF(Table14623576[[#This Row],[PBT/ vPvB]],"*X*"), 20, TRUE, "")</f>
        <v/>
      </c>
      <c r="AG74" s="30" t="str" cm="1">
        <f t="array" ref="AG74">_xlfn.IFS(COUNTIF(Table14623576[[#This Row],[Perturbateur Endocrinien]],"*X*"), 20, TRUE, "")</f>
        <v/>
      </c>
      <c r="AH74" s="30" t="str" cm="1">
        <f t="array" ref="AH74">_xlfn.IFS(COUNTIF(Table14623576[[#This Row],[Phrases H]],"*H350*"), 20, TRUE, "")</f>
        <v/>
      </c>
      <c r="AI74" s="30" t="str" cm="1">
        <f t="array" ref="AI74">_xlfn.IFS(COUNTIF(Table14623576[[#This Row],[Phrases H]],"*H360*"), 20, TRUE, "")</f>
        <v/>
      </c>
      <c r="AJ74" s="30" t="str" cm="1">
        <f t="array" ref="AJ74">_xlfn.IFS(COUNTIF(Table14623576[[#This Row],[Phrases H]],"*H340*"), 20, TRUE, "")</f>
        <v/>
      </c>
      <c r="AK74" s="30" cm="1">
        <f t="array" ref="AK74">_xlfn.IFS(COUNTIF(Table14623576[[#This Row],[Phrases H]],"*H351*"), 10, TRUE, "")</f>
        <v>10</v>
      </c>
      <c r="AL74" s="30" t="str" cm="1">
        <f t="array" ref="AL74">_xlfn.IFS(COUNTIF(Table14623576[[#This Row],[Phrases H]],"*H361*"), 10, TRUE, "")</f>
        <v/>
      </c>
      <c r="AM74" s="30" t="str" cm="1">
        <f t="array" ref="AM74">_xlfn.IFS(COUNTIF(Table14623576[[#This Row],[Phrases H]],"*H362*"), 10, TRUE, "")</f>
        <v/>
      </c>
      <c r="AN74" s="30" cm="1">
        <f t="array" ref="AN74">_xlfn.IFS(COUNTIF(Table14623576[[#This Row],[Phrases H]],"*H341*"), 10, TRUE, "")</f>
        <v>10</v>
      </c>
      <c r="AO74" s="30" t="str" cm="1">
        <f t="array" ref="AO74">_xlfn.IFS(COUNTIF(Table14623576[[#This Row],[Phrases H]],"*H372*"), 10, TRUE, "")</f>
        <v/>
      </c>
      <c r="AP74" s="30" t="str" cm="1">
        <f t="array" ref="AP74">_xlfn.IFS(COUNTIF(Table14623576[[#This Row],[Phrases H]],"*H410*"), 10, TRUE, "")</f>
        <v/>
      </c>
      <c r="AQ74" s="30" t="str" cm="1">
        <f t="array" ref="AQ74">_xlfn.IFS(COUNTIF(Table14623576[[#This Row],[Phrases H]],"*H373*"), 5, TRUE, "")</f>
        <v/>
      </c>
      <c r="AR74" s="30" t="str" cm="1">
        <f t="array" ref="AR74">_xlfn.IFS(COUNTIF(Table14623576[[#This Row],[Phrases H]],"*H411*"), 5, TRUE, "")</f>
        <v/>
      </c>
      <c r="AS74" s="112">
        <f t="shared" si="53"/>
        <v>20</v>
      </c>
      <c r="AT74" s="129">
        <f>LOG(2.62)</f>
        <v>0.41830129131974547</v>
      </c>
      <c r="AU74" s="113">
        <f>10000</f>
        <v>10000</v>
      </c>
      <c r="AV74" s="114">
        <f t="shared" si="41"/>
        <v>40</v>
      </c>
      <c r="AW74" s="115" t="str">
        <f t="shared" si="40"/>
        <v>20</v>
      </c>
      <c r="AX74" s="116">
        <f t="shared" si="42"/>
        <v>40</v>
      </c>
      <c r="AY74" s="117">
        <f t="shared" si="43"/>
        <v>0.47058823529411764</v>
      </c>
      <c r="AZ74" s="118" t="str">
        <f t="shared" si="54"/>
        <v>3</v>
      </c>
      <c r="BA74" s="119" t="str">
        <f t="shared" si="44"/>
        <v>3</v>
      </c>
      <c r="BB74" s="32"/>
      <c r="BC74" s="113" t="s">
        <v>256</v>
      </c>
      <c r="BD74" s="113" t="s">
        <v>97</v>
      </c>
      <c r="BE74" s="120">
        <f t="shared" si="22"/>
        <v>25</v>
      </c>
      <c r="BF74" s="121" t="str">
        <f t="shared" si="55"/>
        <v>Production très élevée</v>
      </c>
      <c r="BG74" s="122" t="str">
        <f t="shared" si="56"/>
        <v>A</v>
      </c>
      <c r="BH74" s="32"/>
      <c r="BI74" s="7"/>
      <c r="BJ74" s="5">
        <v>0</v>
      </c>
      <c r="BK74" s="7"/>
      <c r="BL74" s="131">
        <v>0</v>
      </c>
      <c r="BM74" s="132" t="s">
        <v>99</v>
      </c>
      <c r="BN74"/>
      <c r="BO74" s="60" t="str">
        <f t="shared" si="58"/>
        <v>Catégorie 3A NON</v>
      </c>
      <c r="BP74"/>
      <c r="BQ74" s="42" t="s">
        <v>88</v>
      </c>
      <c r="BR74"/>
      <c r="BS74" s="187" t="str">
        <f t="shared" si="45"/>
        <v>X</v>
      </c>
      <c r="BT74" s="19" t="str">
        <f t="shared" si="46"/>
        <v/>
      </c>
      <c r="BU74" s="19" t="str">
        <f t="shared" si="47"/>
        <v/>
      </c>
      <c r="BV74" s="10"/>
      <c r="BW74" s="5" t="str">
        <f t="shared" si="48"/>
        <v/>
      </c>
      <c r="BX74" s="5" t="str">
        <f t="shared" si="49"/>
        <v/>
      </c>
      <c r="BY74"/>
      <c r="BZ74" s="5" t="str">
        <f t="shared" si="50"/>
        <v>X</v>
      </c>
      <c r="CA74" s="5" t="str">
        <f t="shared" si="51"/>
        <v/>
      </c>
      <c r="CB74" s="188" t="str">
        <f t="shared" si="52"/>
        <v/>
      </c>
    </row>
    <row r="75" spans="1:80" s="27" customFormat="1" ht="42" customHeight="1" x14ac:dyDescent="0.55000000000000004">
      <c r="A75" s="104">
        <v>71</v>
      </c>
      <c r="B75" s="104" t="s">
        <v>75</v>
      </c>
      <c r="C75" s="111" t="s">
        <v>942</v>
      </c>
      <c r="D75" s="104" t="s">
        <v>943</v>
      </c>
      <c r="E75" s="104" t="s">
        <v>944</v>
      </c>
      <c r="F75" s="104" t="s">
        <v>945</v>
      </c>
      <c r="G75" s="104" t="s">
        <v>946</v>
      </c>
      <c r="H75" s="104" t="s">
        <v>947</v>
      </c>
      <c r="I75" s="104" t="s">
        <v>512</v>
      </c>
      <c r="J75" s="104" t="s">
        <v>948</v>
      </c>
      <c r="K75" s="104" t="s">
        <v>949</v>
      </c>
      <c r="L75" s="104"/>
      <c r="M75" s="104"/>
      <c r="N75" s="104"/>
      <c r="O75" s="104"/>
      <c r="P75" s="104" t="s">
        <v>85</v>
      </c>
      <c r="Q75" s="102"/>
      <c r="R75" s="104"/>
      <c r="S75" s="104" t="s">
        <v>88</v>
      </c>
      <c r="T75" s="104"/>
      <c r="U75" s="104" t="s">
        <v>950</v>
      </c>
      <c r="V75" s="104" t="s">
        <v>88</v>
      </c>
      <c r="W75" s="104" t="s">
        <v>951</v>
      </c>
      <c r="X75" s="104" t="s">
        <v>952</v>
      </c>
      <c r="Y75" s="104" t="s">
        <v>93</v>
      </c>
      <c r="Z75" s="104" t="s">
        <v>953</v>
      </c>
      <c r="AA75" s="104" t="s">
        <v>93</v>
      </c>
      <c r="AB75" s="104" t="s">
        <v>93</v>
      </c>
      <c r="AC75" s="104" t="s">
        <v>93</v>
      </c>
      <c r="AD75" s="104" t="s">
        <v>954</v>
      </c>
      <c r="AE75"/>
      <c r="AF75" s="30" t="str" cm="1">
        <f t="array" ref="AF75">_xlfn.IFS(COUNTIF(Table14623576[[#This Row],[PBT/ vPvB]],"*X*"), 20, TRUE, "")</f>
        <v/>
      </c>
      <c r="AG75" s="30" t="str" cm="1">
        <f t="array" ref="AG75">_xlfn.IFS(COUNTIF(Table14623576[[#This Row],[Perturbateur Endocrinien]],"*X*"), 20, TRUE, "")</f>
        <v/>
      </c>
      <c r="AH75" s="30" t="str" cm="1">
        <f t="array" ref="AH75">_xlfn.IFS(COUNTIF(Table14623576[[#This Row],[Phrases H]],"*H350*"), 20, TRUE, "")</f>
        <v/>
      </c>
      <c r="AI75" s="30" t="str" cm="1">
        <f t="array" ref="AI75">_xlfn.IFS(COUNTIF(Table14623576[[#This Row],[Phrases H]],"*H360*"), 20, TRUE, "")</f>
        <v/>
      </c>
      <c r="AJ75" s="30" t="str" cm="1">
        <f t="array" ref="AJ75">_xlfn.IFS(COUNTIF(Table14623576[[#This Row],[Phrases H]],"*H340*"), 20, TRUE, "")</f>
        <v/>
      </c>
      <c r="AK75" s="30" t="str" cm="1">
        <f t="array" ref="AK75">_xlfn.IFS(COUNTIF(Table14623576[[#This Row],[Phrases H]],"*H351*"), 10, TRUE, "")</f>
        <v/>
      </c>
      <c r="AL75" s="30" t="str" cm="1">
        <f t="array" ref="AL75">_xlfn.IFS(COUNTIF(Table14623576[[#This Row],[Phrases H]],"*H361*"), 10, TRUE, "")</f>
        <v/>
      </c>
      <c r="AM75" s="30" t="str" cm="1">
        <f t="array" ref="AM75">_xlfn.IFS(COUNTIF(Table14623576[[#This Row],[Phrases H]],"*H362*"), 10, TRUE, "")</f>
        <v/>
      </c>
      <c r="AN75" s="30" t="str" cm="1">
        <f t="array" ref="AN75">_xlfn.IFS(COUNTIF(Table14623576[[#This Row],[Phrases H]],"*H341*"), 10, TRUE, "")</f>
        <v/>
      </c>
      <c r="AO75" s="30" t="str" cm="1">
        <f t="array" ref="AO75">_xlfn.IFS(COUNTIF(Table14623576[[#This Row],[Phrases H]],"*H372*"), 10, TRUE, "")</f>
        <v/>
      </c>
      <c r="AP75" s="30" t="str" cm="1">
        <f t="array" ref="AP75">_xlfn.IFS(COUNTIF(Table14623576[[#This Row],[Phrases H]],"*H410*"), 10, TRUE, "")</f>
        <v/>
      </c>
      <c r="AQ75" s="30" t="str" cm="1">
        <f t="array" ref="AQ75">_xlfn.IFS(COUNTIF(Table14623576[[#This Row],[Phrases H]],"*H373*"), 5, TRUE, "")</f>
        <v/>
      </c>
      <c r="AR75" s="30" t="str" cm="1">
        <f t="array" ref="AR75">_xlfn.IFS(COUNTIF(Table14623576[[#This Row],[Phrases H]],"*H411*"), 5, TRUE, "")</f>
        <v/>
      </c>
      <c r="AS75" s="112">
        <f t="shared" si="53"/>
        <v>0</v>
      </c>
      <c r="AT75" s="113" t="s">
        <v>88</v>
      </c>
      <c r="AU75" s="113">
        <v>520000</v>
      </c>
      <c r="AV75" s="114">
        <f t="shared" si="41"/>
        <v>50</v>
      </c>
      <c r="AW75" s="115">
        <f>IF(OR(AV75=30,AV75=40),10,IF(AV75=50,20,"0"))</f>
        <v>20</v>
      </c>
      <c r="AX75" s="116">
        <f t="shared" si="42"/>
        <v>20</v>
      </c>
      <c r="AY75" s="117">
        <f t="shared" si="43"/>
        <v>0.23529411764705882</v>
      </c>
      <c r="AZ75" s="118" t="str">
        <f t="shared" si="54"/>
        <v>4</v>
      </c>
      <c r="BA75" s="119" t="str">
        <f t="shared" si="44"/>
        <v>4</v>
      </c>
      <c r="BB75" s="32"/>
      <c r="BC75" s="113">
        <v>10000000</v>
      </c>
      <c r="BD75" s="113" t="s">
        <v>97</v>
      </c>
      <c r="BE75" s="120">
        <f t="shared" si="22"/>
        <v>25</v>
      </c>
      <c r="BF75" s="121" t="str">
        <f t="shared" si="55"/>
        <v>Production très élevée</v>
      </c>
      <c r="BG75" s="122" t="str">
        <f t="shared" si="56"/>
        <v>A</v>
      </c>
      <c r="BH75" s="32"/>
      <c r="BI75" s="7"/>
      <c r="BJ75" s="5">
        <v>0</v>
      </c>
      <c r="BK75" s="7"/>
      <c r="BL75" s="131">
        <v>0</v>
      </c>
      <c r="BM75" s="132" t="s">
        <v>99</v>
      </c>
      <c r="BN75"/>
      <c r="BO75" s="60" t="str">
        <f t="shared" si="58"/>
        <v>Catégorie 4A NON</v>
      </c>
      <c r="BP75"/>
      <c r="BQ75" s="42" t="s">
        <v>88</v>
      </c>
      <c r="BR75"/>
      <c r="BS75" s="187" t="str">
        <f t="shared" si="45"/>
        <v/>
      </c>
      <c r="BT75" s="19" t="str">
        <f t="shared" si="46"/>
        <v/>
      </c>
      <c r="BU75" s="19" t="str">
        <f t="shared" si="47"/>
        <v/>
      </c>
      <c r="BV75" s="10"/>
      <c r="BW75" s="5" t="str">
        <f t="shared" si="48"/>
        <v/>
      </c>
      <c r="BX75" s="5" t="str">
        <f t="shared" si="49"/>
        <v/>
      </c>
      <c r="BY75"/>
      <c r="BZ75" s="5" t="str">
        <f t="shared" si="50"/>
        <v/>
      </c>
      <c r="CA75" s="5" t="str">
        <f t="shared" si="51"/>
        <v/>
      </c>
      <c r="CB75" s="188" t="str">
        <f t="shared" si="52"/>
        <v/>
      </c>
    </row>
    <row r="76" spans="1:80" s="27" customFormat="1" ht="30" customHeight="1" x14ac:dyDescent="0.55000000000000004">
      <c r="A76" s="104">
        <v>72</v>
      </c>
      <c r="B76" s="104" t="s">
        <v>75</v>
      </c>
      <c r="C76" s="111" t="s">
        <v>955</v>
      </c>
      <c r="D76" s="104" t="s">
        <v>956</v>
      </c>
      <c r="E76" s="104" t="s">
        <v>957</v>
      </c>
      <c r="F76" s="104" t="s">
        <v>958</v>
      </c>
      <c r="G76" s="104" t="s">
        <v>959</v>
      </c>
      <c r="H76" s="104" t="s">
        <v>960</v>
      </c>
      <c r="I76" s="104" t="s">
        <v>512</v>
      </c>
      <c r="J76" s="104" t="s">
        <v>961</v>
      </c>
      <c r="K76" s="104" t="s">
        <v>514</v>
      </c>
      <c r="L76" s="104"/>
      <c r="M76" s="104"/>
      <c r="N76" s="104"/>
      <c r="O76" s="104"/>
      <c r="P76" s="104"/>
      <c r="Q76" s="102"/>
      <c r="R76" s="104"/>
      <c r="S76" s="104" t="s">
        <v>88</v>
      </c>
      <c r="T76" s="104"/>
      <c r="U76" s="104" t="s">
        <v>962</v>
      </c>
      <c r="V76" s="104" t="s">
        <v>173</v>
      </c>
      <c r="W76" s="104" t="s">
        <v>963</v>
      </c>
      <c r="X76" s="104" t="s">
        <v>278</v>
      </c>
      <c r="Y76" s="104" t="s">
        <v>93</v>
      </c>
      <c r="Z76" s="104" t="s">
        <v>93</v>
      </c>
      <c r="AA76" s="104" t="s">
        <v>93</v>
      </c>
      <c r="AB76" s="104" t="s">
        <v>93</v>
      </c>
      <c r="AC76" s="104" t="s">
        <v>93</v>
      </c>
      <c r="AD76" s="104" t="s">
        <v>964</v>
      </c>
      <c r="AE76"/>
      <c r="AF76" s="30" t="str" cm="1">
        <f t="array" ref="AF76">_xlfn.IFS(COUNTIF(Table14623576[[#This Row],[PBT/ vPvB]],"*X*"), 20, TRUE, "")</f>
        <v/>
      </c>
      <c r="AG76" s="30" t="str" cm="1">
        <f t="array" ref="AG76">_xlfn.IFS(COUNTIF(Table14623576[[#This Row],[Perturbateur Endocrinien]],"*X*"), 20, TRUE, "")</f>
        <v/>
      </c>
      <c r="AH76" s="30" t="str" cm="1">
        <f t="array" ref="AH76">_xlfn.IFS(COUNTIF(Table14623576[[#This Row],[Phrases H]],"*H350*"), 20, TRUE, "")</f>
        <v/>
      </c>
      <c r="AI76" s="30" t="str" cm="1">
        <f t="array" ref="AI76">_xlfn.IFS(COUNTIF(Table14623576[[#This Row],[Phrases H]],"*H360*"), 20, TRUE, "")</f>
        <v/>
      </c>
      <c r="AJ76" s="30" t="str" cm="1">
        <f t="array" ref="AJ76">_xlfn.IFS(COUNTIF(Table14623576[[#This Row],[Phrases H]],"*H340*"), 20, TRUE, "")</f>
        <v/>
      </c>
      <c r="AK76" s="30" cm="1">
        <f t="array" ref="AK76">_xlfn.IFS(COUNTIF(Table14623576[[#This Row],[Phrases H]],"*H351*"), 10, TRUE, "")</f>
        <v>10</v>
      </c>
      <c r="AL76" s="30" t="str" cm="1">
        <f t="array" ref="AL76">_xlfn.IFS(COUNTIF(Table14623576[[#This Row],[Phrases H]],"*H361*"), 10, TRUE, "")</f>
        <v/>
      </c>
      <c r="AM76" s="30" t="str" cm="1">
        <f t="array" ref="AM76">_xlfn.IFS(COUNTIF(Table14623576[[#This Row],[Phrases H]],"*H362*"), 10, TRUE, "")</f>
        <v/>
      </c>
      <c r="AN76" s="30" t="str" cm="1">
        <f t="array" ref="AN76">_xlfn.IFS(COUNTIF(Table14623576[[#This Row],[Phrases H]],"*H341*"), 10, TRUE, "")</f>
        <v/>
      </c>
      <c r="AO76" s="30" t="str" cm="1">
        <f t="array" ref="AO76">_xlfn.IFS(COUNTIF(Table14623576[[#This Row],[Phrases H]],"*H372*"), 10, TRUE, "")</f>
        <v/>
      </c>
      <c r="AP76" s="30" t="str" cm="1">
        <f t="array" ref="AP76">_xlfn.IFS(COUNTIF(Table14623576[[#This Row],[Phrases H]],"*H410*"), 10, TRUE, "")</f>
        <v/>
      </c>
      <c r="AQ76" s="30" t="str" cm="1">
        <f t="array" ref="AQ76">_xlfn.IFS(COUNTIF(Table14623576[[#This Row],[Phrases H]],"*H373*"), 5, TRUE, "")</f>
        <v/>
      </c>
      <c r="AR76" s="30" t="str" cm="1">
        <f t="array" ref="AR76">_xlfn.IFS(COUNTIF(Table14623576[[#This Row],[Phrases H]],"*H411*"), 5, TRUE, "")</f>
        <v/>
      </c>
      <c r="AS76" s="112">
        <f t="shared" si="53"/>
        <v>10</v>
      </c>
      <c r="AT76" s="113" t="s">
        <v>88</v>
      </c>
      <c r="AU76" s="113">
        <v>1000</v>
      </c>
      <c r="AV76" s="114">
        <f t="shared" si="41"/>
        <v>40</v>
      </c>
      <c r="AW76" s="115">
        <f>IF(OR(AV76=30,AV76=40),10,IF(AV76=50,20,"0"))</f>
        <v>10</v>
      </c>
      <c r="AX76" s="116">
        <f t="shared" si="42"/>
        <v>20</v>
      </c>
      <c r="AY76" s="117">
        <f t="shared" si="43"/>
        <v>0.23529411764705882</v>
      </c>
      <c r="AZ76" s="118" t="str">
        <f t="shared" si="54"/>
        <v>4</v>
      </c>
      <c r="BA76" s="119" t="str">
        <f t="shared" si="44"/>
        <v>4</v>
      </c>
      <c r="BB76" s="32"/>
      <c r="BC76" s="113">
        <v>10000</v>
      </c>
      <c r="BD76" s="113" t="s">
        <v>97</v>
      </c>
      <c r="BE76" s="120">
        <f t="shared" si="22"/>
        <v>20</v>
      </c>
      <c r="BF76" s="121" t="str">
        <f t="shared" si="55"/>
        <v>Production élevée</v>
      </c>
      <c r="BG76" s="122" t="str">
        <f t="shared" si="56"/>
        <v>B</v>
      </c>
      <c r="BH76" s="32"/>
      <c r="BI76" s="7"/>
      <c r="BJ76" s="5">
        <v>0</v>
      </c>
      <c r="BK76" s="7"/>
      <c r="BL76" s="131">
        <v>0</v>
      </c>
      <c r="BM76" s="132" t="s">
        <v>99</v>
      </c>
      <c r="BN76"/>
      <c r="BO76" s="60" t="str">
        <f t="shared" si="58"/>
        <v>Catégorie 4B NON</v>
      </c>
      <c r="BP76"/>
      <c r="BQ76" s="42" t="s">
        <v>88</v>
      </c>
      <c r="BR76"/>
      <c r="BS76" s="187" t="str">
        <f t="shared" si="45"/>
        <v/>
      </c>
      <c r="BT76" s="19" t="str">
        <f t="shared" si="46"/>
        <v/>
      </c>
      <c r="BU76" s="19" t="str">
        <f t="shared" si="47"/>
        <v/>
      </c>
      <c r="BV76" s="10"/>
      <c r="BW76" s="5" t="str">
        <f t="shared" si="48"/>
        <v/>
      </c>
      <c r="BX76" s="5" t="str">
        <f t="shared" si="49"/>
        <v/>
      </c>
      <c r="BY76"/>
      <c r="BZ76" s="5" t="str">
        <f t="shared" si="50"/>
        <v/>
      </c>
      <c r="CA76" s="5" t="str">
        <f t="shared" si="51"/>
        <v/>
      </c>
      <c r="CB76" s="188" t="str">
        <f t="shared" si="52"/>
        <v/>
      </c>
    </row>
    <row r="77" spans="1:80" s="27" customFormat="1" ht="30" customHeight="1" x14ac:dyDescent="0.55000000000000004">
      <c r="A77" s="104">
        <v>73</v>
      </c>
      <c r="B77" s="104" t="s">
        <v>75</v>
      </c>
      <c r="C77" s="111" t="s">
        <v>965</v>
      </c>
      <c r="D77" s="104" t="s">
        <v>966</v>
      </c>
      <c r="E77" s="104" t="s">
        <v>967</v>
      </c>
      <c r="F77" s="104" t="s">
        <v>968</v>
      </c>
      <c r="G77" s="104" t="s">
        <v>969</v>
      </c>
      <c r="H77" s="104" t="s">
        <v>970</v>
      </c>
      <c r="I77" s="104" t="s">
        <v>512</v>
      </c>
      <c r="J77" s="104" t="s">
        <v>733</v>
      </c>
      <c r="K77" s="104" t="s">
        <v>657</v>
      </c>
      <c r="L77" s="104"/>
      <c r="M77" s="104"/>
      <c r="N77" s="104"/>
      <c r="O77" s="104"/>
      <c r="P77" s="104"/>
      <c r="Q77" s="102"/>
      <c r="R77" s="104"/>
      <c r="S77" s="104" t="s">
        <v>88</v>
      </c>
      <c r="T77" s="104"/>
      <c r="U77" s="104" t="s">
        <v>971</v>
      </c>
      <c r="V77" s="104" t="s">
        <v>173</v>
      </c>
      <c r="W77" s="104" t="s">
        <v>972</v>
      </c>
      <c r="X77" s="104" t="s">
        <v>93</v>
      </c>
      <c r="Y77" s="104" t="s">
        <v>93</v>
      </c>
      <c r="Z77" s="104" t="s">
        <v>93</v>
      </c>
      <c r="AA77" s="104" t="s">
        <v>93</v>
      </c>
      <c r="AB77" s="104" t="s">
        <v>93</v>
      </c>
      <c r="AC77" s="104" t="s">
        <v>93</v>
      </c>
      <c r="AD77" s="104" t="s">
        <v>973</v>
      </c>
      <c r="AE77"/>
      <c r="AF77" s="30" t="str" cm="1">
        <f t="array" ref="AF77">_xlfn.IFS(COUNTIF(Table14623576[[#This Row],[PBT/ vPvB]],"*X*"), 20, TRUE, "")</f>
        <v/>
      </c>
      <c r="AG77" s="30" t="str" cm="1">
        <f t="array" ref="AG77">_xlfn.IFS(COUNTIF(Table14623576[[#This Row],[Perturbateur Endocrinien]],"*X*"), 20, TRUE, "")</f>
        <v/>
      </c>
      <c r="AH77" s="30" t="str" cm="1">
        <f t="array" ref="AH77">_xlfn.IFS(COUNTIF(Table14623576[[#This Row],[Phrases H]],"*H350*"), 20, TRUE, "")</f>
        <v/>
      </c>
      <c r="AI77" s="30" cm="1">
        <f t="array" ref="AI77">_xlfn.IFS(COUNTIF(Table14623576[[#This Row],[Phrases H]],"*H360*"), 20, TRUE, "")</f>
        <v>20</v>
      </c>
      <c r="AJ77" s="30" t="str" cm="1">
        <f t="array" ref="AJ77">_xlfn.IFS(COUNTIF(Table14623576[[#This Row],[Phrases H]],"*H340*"), 20, TRUE, "")</f>
        <v/>
      </c>
      <c r="AK77" s="30" t="str" cm="1">
        <f t="array" ref="AK77">_xlfn.IFS(COUNTIF(Table14623576[[#This Row],[Phrases H]],"*H351*"), 10, TRUE, "")</f>
        <v/>
      </c>
      <c r="AL77" s="30" t="str" cm="1">
        <f t="array" ref="AL77">_xlfn.IFS(COUNTIF(Table14623576[[#This Row],[Phrases H]],"*H361*"), 10, TRUE, "")</f>
        <v/>
      </c>
      <c r="AM77" s="30" t="str" cm="1">
        <f t="array" ref="AM77">_xlfn.IFS(COUNTIF(Table14623576[[#This Row],[Phrases H]],"*H362*"), 10, TRUE, "")</f>
        <v/>
      </c>
      <c r="AN77" s="30" t="str" cm="1">
        <f t="array" ref="AN77">_xlfn.IFS(COUNTIF(Table14623576[[#This Row],[Phrases H]],"*H341*"), 10, TRUE, "")</f>
        <v/>
      </c>
      <c r="AO77" s="30" t="str" cm="1">
        <f t="array" ref="AO77">_xlfn.IFS(COUNTIF(Table14623576[[#This Row],[Phrases H]],"*H372*"), 10, TRUE, "")</f>
        <v/>
      </c>
      <c r="AP77" s="30" t="str" cm="1">
        <f t="array" ref="AP77">_xlfn.IFS(COUNTIF(Table14623576[[#This Row],[Phrases H]],"*H410*"), 10, TRUE, "")</f>
        <v/>
      </c>
      <c r="AQ77" s="30" t="str" cm="1">
        <f t="array" ref="AQ77">_xlfn.IFS(COUNTIF(Table14623576[[#This Row],[Phrases H]],"*H373*"), 5, TRUE, "")</f>
        <v/>
      </c>
      <c r="AR77" s="30" t="str" cm="1">
        <f t="array" ref="AR77">_xlfn.IFS(COUNTIF(Table14623576[[#This Row],[Phrases H]],"*H411*"), 5, TRUE, "")</f>
        <v/>
      </c>
      <c r="AS77" s="112">
        <f t="shared" si="53"/>
        <v>20</v>
      </c>
      <c r="AT77" s="113" t="s">
        <v>88</v>
      </c>
      <c r="AU77" s="113">
        <v>2560</v>
      </c>
      <c r="AV77" s="114">
        <f t="shared" si="41"/>
        <v>40</v>
      </c>
      <c r="AW77" s="115">
        <f>IF(OR(AV77=30,AV77=40),10,IF(AV77=50,20,"0"))</f>
        <v>10</v>
      </c>
      <c r="AX77" s="116">
        <f t="shared" si="42"/>
        <v>30</v>
      </c>
      <c r="AY77" s="117">
        <f t="shared" si="43"/>
        <v>0.35294117647058826</v>
      </c>
      <c r="AZ77" s="118" t="str">
        <f t="shared" si="54"/>
        <v>4</v>
      </c>
      <c r="BA77" s="119" t="str">
        <f t="shared" si="44"/>
        <v>4</v>
      </c>
      <c r="BB77" s="32"/>
      <c r="BC77" s="113">
        <v>100000</v>
      </c>
      <c r="BD77" s="113" t="s">
        <v>97</v>
      </c>
      <c r="BE77" s="120">
        <f t="shared" ref="BE77:BE137" si="59">IF(BC77="N/A",0,IF(BC77&lt;=10,5,IF(BC77&lt;=100,10,IF(BC77&lt;=1000,15,IF(BC77&lt;=10000,20,25)))))</f>
        <v>25</v>
      </c>
      <c r="BF77" s="121" t="str">
        <f t="shared" si="55"/>
        <v>Production très élevée</v>
      </c>
      <c r="BG77" s="122" t="str">
        <f t="shared" si="56"/>
        <v>A</v>
      </c>
      <c r="BH77" s="32"/>
      <c r="BI77" s="7"/>
      <c r="BJ77" s="5">
        <v>0</v>
      </c>
      <c r="BK77" s="7"/>
      <c r="BL77" s="131">
        <v>0</v>
      </c>
      <c r="BM77" s="132" t="s">
        <v>99</v>
      </c>
      <c r="BN77"/>
      <c r="BO77" s="60" t="str">
        <f t="shared" si="58"/>
        <v>Catégorie 4A NON</v>
      </c>
      <c r="BP77"/>
      <c r="BQ77" s="42" t="s">
        <v>88</v>
      </c>
      <c r="BR77"/>
      <c r="BS77" s="187" t="str">
        <f t="shared" si="45"/>
        <v/>
      </c>
      <c r="BT77" s="19" t="str">
        <f t="shared" si="46"/>
        <v/>
      </c>
      <c r="BU77" s="19" t="str">
        <f t="shared" si="47"/>
        <v/>
      </c>
      <c r="BV77" s="10"/>
      <c r="BW77" s="5" t="str">
        <f t="shared" si="48"/>
        <v/>
      </c>
      <c r="BX77" s="5" t="str">
        <f t="shared" si="49"/>
        <v/>
      </c>
      <c r="BY77"/>
      <c r="BZ77" s="5" t="str">
        <f t="shared" si="50"/>
        <v/>
      </c>
      <c r="CA77" s="5" t="str">
        <f t="shared" si="51"/>
        <v/>
      </c>
      <c r="CB77" s="188" t="str">
        <f t="shared" si="52"/>
        <v/>
      </c>
    </row>
    <row r="78" spans="1:80" s="27" customFormat="1" ht="30" customHeight="1" x14ac:dyDescent="0.55000000000000004">
      <c r="A78" s="104">
        <v>74</v>
      </c>
      <c r="B78" s="104" t="s">
        <v>75</v>
      </c>
      <c r="C78" s="111" t="s">
        <v>974</v>
      </c>
      <c r="D78" s="104" t="s">
        <v>975</v>
      </c>
      <c r="E78" s="104" t="s">
        <v>976</v>
      </c>
      <c r="F78" s="104" t="s">
        <v>977</v>
      </c>
      <c r="G78" s="104" t="s">
        <v>978</v>
      </c>
      <c r="H78" s="104" t="s">
        <v>979</v>
      </c>
      <c r="I78" s="104" t="s">
        <v>512</v>
      </c>
      <c r="J78" s="104" t="s">
        <v>733</v>
      </c>
      <c r="K78" s="104" t="s">
        <v>84</v>
      </c>
      <c r="L78" s="104"/>
      <c r="M78" s="104"/>
      <c r="N78" s="104"/>
      <c r="O78" s="104"/>
      <c r="P78" s="104"/>
      <c r="Q78" s="102"/>
      <c r="R78" s="104"/>
      <c r="S78" s="104" t="s">
        <v>88</v>
      </c>
      <c r="T78" s="104"/>
      <c r="U78" s="104" t="s">
        <v>980</v>
      </c>
      <c r="V78" s="104" t="s">
        <v>122</v>
      </c>
      <c r="W78" s="104" t="s">
        <v>981</v>
      </c>
      <c r="X78" s="104" t="s">
        <v>93</v>
      </c>
      <c r="Y78" s="104" t="s">
        <v>93</v>
      </c>
      <c r="Z78" s="104" t="s">
        <v>93</v>
      </c>
      <c r="AA78" s="104" t="s">
        <v>93</v>
      </c>
      <c r="AB78" s="104" t="s">
        <v>93</v>
      </c>
      <c r="AC78" s="104" t="s">
        <v>93</v>
      </c>
      <c r="AD78" s="104" t="s">
        <v>93</v>
      </c>
      <c r="AE78"/>
      <c r="AF78" s="30" t="str" cm="1">
        <f t="array" ref="AF78">_xlfn.IFS(COUNTIF(Table14623576[[#This Row],[PBT/ vPvB]],"*X*"), 20, TRUE, "")</f>
        <v/>
      </c>
      <c r="AG78" s="30" t="str" cm="1">
        <f t="array" ref="AG78">_xlfn.IFS(COUNTIF(Table14623576[[#This Row],[Perturbateur Endocrinien]],"*X*"), 20, TRUE, "")</f>
        <v/>
      </c>
      <c r="AH78" s="30" t="str" cm="1">
        <f t="array" ref="AH78">_xlfn.IFS(COUNTIF(Table14623576[[#This Row],[Phrases H]],"*H350*"), 20, TRUE, "")</f>
        <v/>
      </c>
      <c r="AI78" s="30" t="str" cm="1">
        <f t="array" ref="AI78">_xlfn.IFS(COUNTIF(Table14623576[[#This Row],[Phrases H]],"*H360*"), 20, TRUE, "")</f>
        <v/>
      </c>
      <c r="AJ78" s="30" t="str" cm="1">
        <f t="array" ref="AJ78">_xlfn.IFS(COUNTIF(Table14623576[[#This Row],[Phrases H]],"*H340*"), 20, TRUE, "")</f>
        <v/>
      </c>
      <c r="AK78" s="30" t="str" cm="1">
        <f t="array" ref="AK78">_xlfn.IFS(COUNTIF(Table14623576[[#This Row],[Phrases H]],"*H351*"), 10, TRUE, "")</f>
        <v/>
      </c>
      <c r="AL78" s="30" cm="1">
        <f t="array" ref="AL78">_xlfn.IFS(COUNTIF(Table14623576[[#This Row],[Phrases H]],"*H361*"), 10, TRUE, "")</f>
        <v>10</v>
      </c>
      <c r="AM78" s="30" t="str" cm="1">
        <f t="array" ref="AM78">_xlfn.IFS(COUNTIF(Table14623576[[#This Row],[Phrases H]],"*H362*"), 10, TRUE, "")</f>
        <v/>
      </c>
      <c r="AN78" s="30" t="str" cm="1">
        <f t="array" ref="AN78">_xlfn.IFS(COUNTIF(Table14623576[[#This Row],[Phrases H]],"*H341*"), 10, TRUE, "")</f>
        <v/>
      </c>
      <c r="AO78" s="30" t="str" cm="1">
        <f t="array" ref="AO78">_xlfn.IFS(COUNTIF(Table14623576[[#This Row],[Phrases H]],"*H372*"), 10, TRUE, "")</f>
        <v/>
      </c>
      <c r="AP78" s="30" t="str" cm="1">
        <f t="array" ref="AP78">_xlfn.IFS(COUNTIF(Table14623576[[#This Row],[Phrases H]],"*H410*"), 10, TRUE, "")</f>
        <v/>
      </c>
      <c r="AQ78" s="30" t="str" cm="1">
        <f t="array" ref="AQ78">_xlfn.IFS(COUNTIF(Table14623576[[#This Row],[Phrases H]],"*H373*"), 5, TRUE, "")</f>
        <v/>
      </c>
      <c r="AR78" s="30" t="str" cm="1">
        <f t="array" ref="AR78">_xlfn.IFS(COUNTIF(Table14623576[[#This Row],[Phrases H]],"*H411*"), 5, TRUE, "")</f>
        <v/>
      </c>
      <c r="AS78" s="112">
        <f t="shared" si="53"/>
        <v>10</v>
      </c>
      <c r="AT78" s="113" t="s">
        <v>88</v>
      </c>
      <c r="AU78" s="113">
        <v>163200</v>
      </c>
      <c r="AV78" s="114">
        <f t="shared" si="41"/>
        <v>50</v>
      </c>
      <c r="AW78" s="115">
        <f>IF(OR(AV78=30,AV78=40),10,IF(AV78=50,20,"0"))</f>
        <v>20</v>
      </c>
      <c r="AX78" s="116">
        <f t="shared" si="42"/>
        <v>30</v>
      </c>
      <c r="AY78" s="117">
        <f t="shared" si="43"/>
        <v>0.35294117647058826</v>
      </c>
      <c r="AZ78" s="118" t="str">
        <f t="shared" si="54"/>
        <v>4</v>
      </c>
      <c r="BA78" s="119" t="str">
        <f t="shared" si="44"/>
        <v>4</v>
      </c>
      <c r="BB78" s="32"/>
      <c r="BC78" s="113">
        <v>1000</v>
      </c>
      <c r="BD78" s="113" t="s">
        <v>97</v>
      </c>
      <c r="BE78" s="120">
        <f t="shared" si="59"/>
        <v>15</v>
      </c>
      <c r="BF78" s="121" t="str">
        <f t="shared" si="55"/>
        <v>Production modérée</v>
      </c>
      <c r="BG78" s="122" t="str">
        <f t="shared" si="56"/>
        <v>C</v>
      </c>
      <c r="BH78" s="32"/>
      <c r="BI78" s="7"/>
      <c r="BJ78" s="5">
        <v>0</v>
      </c>
      <c r="BK78" s="7"/>
      <c r="BL78" s="131">
        <v>0</v>
      </c>
      <c r="BM78" s="132" t="s">
        <v>99</v>
      </c>
      <c r="BN78"/>
      <c r="BO78" s="60" t="str">
        <f t="shared" si="58"/>
        <v>Catégorie 4C NON</v>
      </c>
      <c r="BP78"/>
      <c r="BQ78" s="42" t="s">
        <v>88</v>
      </c>
      <c r="BR78"/>
      <c r="BS78" s="187" t="str">
        <f t="shared" si="45"/>
        <v/>
      </c>
      <c r="BT78" s="19" t="str">
        <f t="shared" si="46"/>
        <v/>
      </c>
      <c r="BU78" s="19" t="str">
        <f t="shared" si="47"/>
        <v/>
      </c>
      <c r="BV78" s="10"/>
      <c r="BW78" s="5" t="str">
        <f t="shared" si="48"/>
        <v/>
      </c>
      <c r="BX78" s="5" t="str">
        <f t="shared" si="49"/>
        <v/>
      </c>
      <c r="BY78"/>
      <c r="BZ78" s="5" t="str">
        <f t="shared" si="50"/>
        <v/>
      </c>
      <c r="CA78" s="5" t="str">
        <f t="shared" si="51"/>
        <v/>
      </c>
      <c r="CB78" s="188" t="str">
        <f t="shared" si="52"/>
        <v/>
      </c>
    </row>
    <row r="79" spans="1:80" s="27" customFormat="1" ht="41.5" customHeight="1" x14ac:dyDescent="0.55000000000000004">
      <c r="A79" s="104">
        <v>75</v>
      </c>
      <c r="B79" s="104" t="s">
        <v>75</v>
      </c>
      <c r="C79" s="111" t="s">
        <v>982</v>
      </c>
      <c r="D79" s="104" t="s">
        <v>983</v>
      </c>
      <c r="E79" s="104" t="s">
        <v>984</v>
      </c>
      <c r="F79" s="104" t="s">
        <v>985</v>
      </c>
      <c r="G79" s="104" t="s">
        <v>986</v>
      </c>
      <c r="H79" s="104" t="s">
        <v>987</v>
      </c>
      <c r="I79" s="104"/>
      <c r="J79" s="104" t="s">
        <v>988</v>
      </c>
      <c r="K79" s="104" t="s">
        <v>292</v>
      </c>
      <c r="L79" s="104"/>
      <c r="M79" s="104"/>
      <c r="N79" s="104"/>
      <c r="O79" s="104"/>
      <c r="P79" s="104"/>
      <c r="Q79" s="102"/>
      <c r="R79" s="104"/>
      <c r="S79" s="104" t="s">
        <v>86</v>
      </c>
      <c r="T79" s="104"/>
      <c r="U79" s="104" t="s">
        <v>989</v>
      </c>
      <c r="V79" s="104" t="s">
        <v>88</v>
      </c>
      <c r="W79" s="104" t="s">
        <v>990</v>
      </c>
      <c r="X79" s="104" t="s">
        <v>991</v>
      </c>
      <c r="Y79" s="104" t="s">
        <v>992</v>
      </c>
      <c r="Z79" s="104" t="s">
        <v>993</v>
      </c>
      <c r="AA79" s="104">
        <v>25</v>
      </c>
      <c r="AB79" s="128">
        <f>LOG(15968)</f>
        <v>4.2032505239432956</v>
      </c>
      <c r="AC79" s="104">
        <v>15968</v>
      </c>
      <c r="AD79" s="104" t="s">
        <v>994</v>
      </c>
      <c r="AE79"/>
      <c r="AF79" s="30" t="str" cm="1">
        <f t="array" ref="AF79">_xlfn.IFS(COUNTIF(Table14623576[[#This Row],[PBT/ vPvB]],"*X*"), 20, TRUE, "")</f>
        <v/>
      </c>
      <c r="AG79" s="30" t="str" cm="1">
        <f t="array" ref="AG79">_xlfn.IFS(COUNTIF(Table14623576[[#This Row],[Perturbateur Endocrinien]],"*X*"), 20, TRUE, "")</f>
        <v/>
      </c>
      <c r="AH79" s="30" t="str" cm="1">
        <f t="array" ref="AH79">_xlfn.IFS(COUNTIF(Table14623576[[#This Row],[Phrases H]],"*H350*"), 20, TRUE, "")</f>
        <v/>
      </c>
      <c r="AI79" s="30" t="str" cm="1">
        <f t="array" ref="AI79">_xlfn.IFS(COUNTIF(Table14623576[[#This Row],[Phrases H]],"*H360*"), 20, TRUE, "")</f>
        <v/>
      </c>
      <c r="AJ79" s="30" t="str" cm="1">
        <f t="array" ref="AJ79">_xlfn.IFS(COUNTIF(Table14623576[[#This Row],[Phrases H]],"*H340*"), 20, TRUE, "")</f>
        <v/>
      </c>
      <c r="AK79" s="30" t="str" cm="1">
        <f t="array" ref="AK79">_xlfn.IFS(COUNTIF(Table14623576[[#This Row],[Phrases H]],"*H351*"), 10, TRUE, "")</f>
        <v/>
      </c>
      <c r="AL79" s="30" cm="1">
        <f t="array" ref="AL79">_xlfn.IFS(COUNTIF(Table14623576[[#This Row],[Phrases H]],"*H361*"), 10, TRUE, "")</f>
        <v>10</v>
      </c>
      <c r="AM79" s="30" t="str" cm="1">
        <f t="array" ref="AM79">_xlfn.IFS(COUNTIF(Table14623576[[#This Row],[Phrases H]],"*H362*"), 10, TRUE, "")</f>
        <v/>
      </c>
      <c r="AN79" s="30" t="str" cm="1">
        <f t="array" ref="AN79">_xlfn.IFS(COUNTIF(Table14623576[[#This Row],[Phrases H]],"*H341*"), 10, TRUE, "")</f>
        <v/>
      </c>
      <c r="AO79" s="30" t="str" cm="1">
        <f t="array" ref="AO79">_xlfn.IFS(COUNTIF(Table14623576[[#This Row],[Phrases H]],"*H372*"), 10, TRUE, "")</f>
        <v/>
      </c>
      <c r="AP79" s="30" t="str" cm="1">
        <f t="array" ref="AP79">_xlfn.IFS(COUNTIF(Table14623576[[#This Row],[Phrases H]],"*H410*"), 10, TRUE, "")</f>
        <v/>
      </c>
      <c r="AQ79" s="30" t="str" cm="1">
        <f t="array" ref="AQ79">_xlfn.IFS(COUNTIF(Table14623576[[#This Row],[Phrases H]],"*H373*"), 5, TRUE, "")</f>
        <v/>
      </c>
      <c r="AR79" s="30" t="str" cm="1">
        <f t="array" ref="AR79">_xlfn.IFS(COUNTIF(Table14623576[[#This Row],[Phrases H]],"*H411*"), 5, TRUE, "")</f>
        <v/>
      </c>
      <c r="AS79" s="112">
        <f t="shared" si="53"/>
        <v>10</v>
      </c>
      <c r="AT79" s="129">
        <f>LOG(15968)</f>
        <v>4.2032505239432956</v>
      </c>
      <c r="AU79" s="113">
        <v>0.08</v>
      </c>
      <c r="AV79" s="114">
        <f t="shared" si="41"/>
        <v>10</v>
      </c>
      <c r="AW79" s="115" t="str">
        <f>IF(AT79="0","0",IF(AT79&lt;2,"20",IF(AT79&lt;3,"10","0")))</f>
        <v>0</v>
      </c>
      <c r="AX79" s="116">
        <f t="shared" si="42"/>
        <v>10</v>
      </c>
      <c r="AY79" s="117">
        <f t="shared" si="43"/>
        <v>0.11764705882352941</v>
      </c>
      <c r="AZ79" s="118" t="str">
        <f t="shared" si="54"/>
        <v>5</v>
      </c>
      <c r="BA79" s="119" t="str">
        <f t="shared" si="44"/>
        <v>5</v>
      </c>
      <c r="BB79" s="32"/>
      <c r="BC79" s="113">
        <v>10000</v>
      </c>
      <c r="BD79" s="113" t="s">
        <v>97</v>
      </c>
      <c r="BE79" s="120">
        <f t="shared" si="59"/>
        <v>20</v>
      </c>
      <c r="BF79" s="121" t="str">
        <f t="shared" si="55"/>
        <v>Production élevée</v>
      </c>
      <c r="BG79" s="122" t="str">
        <f t="shared" si="56"/>
        <v>B</v>
      </c>
      <c r="BH79" s="32"/>
      <c r="BI79" s="7"/>
      <c r="BJ79" s="5">
        <v>0</v>
      </c>
      <c r="BK79" s="7"/>
      <c r="BL79" s="131">
        <v>0</v>
      </c>
      <c r="BM79" s="132" t="s">
        <v>99</v>
      </c>
      <c r="BN79"/>
      <c r="BO79" s="60" t="str">
        <f t="shared" si="58"/>
        <v>Catégorie 5B NON</v>
      </c>
      <c r="BP79"/>
      <c r="BQ79" s="42" t="s">
        <v>88</v>
      </c>
      <c r="BR79"/>
      <c r="BS79" s="187" t="str">
        <f t="shared" si="45"/>
        <v/>
      </c>
      <c r="BT79" s="19" t="str">
        <f t="shared" si="46"/>
        <v/>
      </c>
      <c r="BU79" s="19" t="str">
        <f t="shared" si="47"/>
        <v/>
      </c>
      <c r="BV79" s="10"/>
      <c r="BW79" s="5" t="str">
        <f t="shared" si="48"/>
        <v/>
      </c>
      <c r="BX79" s="5" t="str">
        <f t="shared" si="49"/>
        <v/>
      </c>
      <c r="BY79"/>
      <c r="BZ79" s="5" t="str">
        <f t="shared" si="50"/>
        <v/>
      </c>
      <c r="CA79" s="5" t="str">
        <f t="shared" si="51"/>
        <v/>
      </c>
      <c r="CB79" s="188" t="str">
        <f t="shared" si="52"/>
        <v/>
      </c>
    </row>
    <row r="80" spans="1:80" s="27" customFormat="1" ht="30" customHeight="1" x14ac:dyDescent="0.55000000000000004">
      <c r="A80" s="104">
        <v>76</v>
      </c>
      <c r="B80" s="104" t="s">
        <v>75</v>
      </c>
      <c r="C80" s="111" t="s">
        <v>995</v>
      </c>
      <c r="D80" s="104" t="s">
        <v>77</v>
      </c>
      <c r="E80" s="104" t="s">
        <v>996</v>
      </c>
      <c r="F80" s="104" t="s">
        <v>997</v>
      </c>
      <c r="G80" s="104" t="s">
        <v>998</v>
      </c>
      <c r="H80" s="104" t="s">
        <v>999</v>
      </c>
      <c r="I80" s="104" t="s">
        <v>605</v>
      </c>
      <c r="J80" s="104" t="s">
        <v>1000</v>
      </c>
      <c r="K80" s="104" t="s">
        <v>379</v>
      </c>
      <c r="L80" s="104"/>
      <c r="M80" s="104"/>
      <c r="N80" s="104"/>
      <c r="O80" s="104"/>
      <c r="P80" s="104" t="s">
        <v>85</v>
      </c>
      <c r="Q80" s="102"/>
      <c r="R80" s="104"/>
      <c r="S80" s="104" t="s">
        <v>86</v>
      </c>
      <c r="T80" s="104"/>
      <c r="U80" s="104" t="s">
        <v>1001</v>
      </c>
      <c r="V80" s="104" t="s">
        <v>88</v>
      </c>
      <c r="W80" s="138" t="s">
        <v>1002</v>
      </c>
      <c r="X80" s="104" t="s">
        <v>1003</v>
      </c>
      <c r="Y80" s="104" t="s">
        <v>1004</v>
      </c>
      <c r="Z80" s="104" t="s">
        <v>1005</v>
      </c>
      <c r="AA80" s="104" t="s">
        <v>93</v>
      </c>
      <c r="AB80" s="104">
        <v>1.079</v>
      </c>
      <c r="AC80" s="104" t="s">
        <v>1006</v>
      </c>
      <c r="AD80" s="104" t="s">
        <v>1007</v>
      </c>
      <c r="AE80"/>
      <c r="AF80" s="30" t="str" cm="1">
        <f t="array" ref="AF80">_xlfn.IFS(COUNTIF(Table14623576[[#This Row],[PBT/ vPvB]],"*X*"), 20, TRUE, "")</f>
        <v/>
      </c>
      <c r="AG80" s="30" t="str" cm="1">
        <f t="array" ref="AG80">_xlfn.IFS(COUNTIF(Table14623576[[#This Row],[Perturbateur Endocrinien]],"*X*"), 20, TRUE, "")</f>
        <v/>
      </c>
      <c r="AH80" s="30" t="str" cm="1">
        <f t="array" ref="AH80">_xlfn.IFS(COUNTIF(Table14623576[[#This Row],[Phrases H]],"*H350*"), 20, TRUE, "")</f>
        <v/>
      </c>
      <c r="AI80" s="30" t="str" cm="1">
        <f t="array" ref="AI80">_xlfn.IFS(COUNTIF(Table14623576[[#This Row],[Phrases H]],"*H360*"), 20, TRUE, "")</f>
        <v/>
      </c>
      <c r="AJ80" s="30" t="str" cm="1">
        <f t="array" ref="AJ80">_xlfn.IFS(COUNTIF(Table14623576[[#This Row],[Phrases H]],"*H340*"), 20, TRUE, "")</f>
        <v/>
      </c>
      <c r="AK80" s="30" t="str" cm="1">
        <f t="array" ref="AK80">_xlfn.IFS(COUNTIF(Table14623576[[#This Row],[Phrases H]],"*H351*"), 10, TRUE, "")</f>
        <v/>
      </c>
      <c r="AL80" s="30" t="str" cm="1">
        <f t="array" ref="AL80">_xlfn.IFS(COUNTIF(Table14623576[[#This Row],[Phrases H]],"*H361*"), 10, TRUE, "")</f>
        <v/>
      </c>
      <c r="AM80" s="30" t="str" cm="1">
        <f t="array" ref="AM80">_xlfn.IFS(COUNTIF(Table14623576[[#This Row],[Phrases H]],"*H362*"), 10, TRUE, "")</f>
        <v/>
      </c>
      <c r="AN80" s="30" t="str" cm="1">
        <f t="array" ref="AN80">_xlfn.IFS(COUNTIF(Table14623576[[#This Row],[Phrases H]],"*H341*"), 10, TRUE, "")</f>
        <v/>
      </c>
      <c r="AO80" s="30" t="str" cm="1">
        <f t="array" ref="AO80">_xlfn.IFS(COUNTIF(Table14623576[[#This Row],[Phrases H]],"*H372*"), 10, TRUE, "")</f>
        <v/>
      </c>
      <c r="AP80" s="30" cm="1">
        <f t="array" ref="AP80">_xlfn.IFS(COUNTIF(Table14623576[[#This Row],[Phrases H]],"*H410*"), 10, TRUE, "")</f>
        <v>10</v>
      </c>
      <c r="AQ80" s="30" t="str" cm="1">
        <f t="array" ref="AQ80">_xlfn.IFS(COUNTIF(Table14623576[[#This Row],[Phrases H]],"*H373*"), 5, TRUE, "")</f>
        <v/>
      </c>
      <c r="AR80" s="30" t="str" cm="1">
        <f t="array" ref="AR80">_xlfn.IFS(COUNTIF(Table14623576[[#This Row],[Phrases H]],"*H411*"), 5, TRUE, "")</f>
        <v/>
      </c>
      <c r="AS80" s="112">
        <f t="shared" si="53"/>
        <v>10</v>
      </c>
      <c r="AT80" s="113">
        <v>1.079</v>
      </c>
      <c r="AU80" s="139">
        <v>537000</v>
      </c>
      <c r="AV80" s="114">
        <f t="shared" si="41"/>
        <v>50</v>
      </c>
      <c r="AW80" s="115" t="str">
        <f>IF(AT80="0","0",IF(AT80&lt;2,"20",IF(AT80&lt;3,"10","0")))</f>
        <v>20</v>
      </c>
      <c r="AX80" s="116">
        <f t="shared" si="42"/>
        <v>30</v>
      </c>
      <c r="AY80" s="117">
        <f t="shared" si="43"/>
        <v>0.35294117647058826</v>
      </c>
      <c r="AZ80" s="118" t="str">
        <f t="shared" si="54"/>
        <v>4</v>
      </c>
      <c r="BA80" s="119" t="str">
        <f t="shared" si="44"/>
        <v>4</v>
      </c>
      <c r="BB80" s="32"/>
      <c r="BC80" s="113">
        <v>100</v>
      </c>
      <c r="BD80" s="113" t="s">
        <v>97</v>
      </c>
      <c r="BE80" s="120">
        <f t="shared" si="59"/>
        <v>10</v>
      </c>
      <c r="BF80" s="121" t="str">
        <f t="shared" si="55"/>
        <v>Faible production</v>
      </c>
      <c r="BG80" s="122" t="str">
        <f t="shared" si="56"/>
        <v>D</v>
      </c>
      <c r="BH80" s="32"/>
      <c r="BI80" s="7"/>
      <c r="BJ80" s="5">
        <v>0</v>
      </c>
      <c r="BK80" s="7"/>
      <c r="BL80" s="131">
        <v>0</v>
      </c>
      <c r="BM80" s="132" t="s">
        <v>99</v>
      </c>
      <c r="BN80"/>
      <c r="BO80" s="60" t="str">
        <f t="shared" si="58"/>
        <v>Catégorie 4D NON</v>
      </c>
      <c r="BP80"/>
      <c r="BQ80" s="42" t="s">
        <v>88</v>
      </c>
      <c r="BR80"/>
      <c r="BS80" s="187" t="str">
        <f t="shared" si="45"/>
        <v/>
      </c>
      <c r="BT80" s="19" t="str">
        <f t="shared" si="46"/>
        <v/>
      </c>
      <c r="BU80" s="19" t="str">
        <f t="shared" si="47"/>
        <v/>
      </c>
      <c r="BV80" s="10"/>
      <c r="BW80" s="5" t="str">
        <f t="shared" si="48"/>
        <v>X</v>
      </c>
      <c r="BX80" s="5" t="str">
        <f t="shared" si="49"/>
        <v/>
      </c>
      <c r="BY80"/>
      <c r="BZ80" s="5" t="str">
        <f t="shared" si="50"/>
        <v/>
      </c>
      <c r="CA80" s="5" t="str">
        <f t="shared" si="51"/>
        <v/>
      </c>
      <c r="CB80" s="188" t="str">
        <f t="shared" si="52"/>
        <v/>
      </c>
    </row>
    <row r="81" spans="1:80" s="27" customFormat="1" ht="56.5" customHeight="1" x14ac:dyDescent="0.55000000000000004">
      <c r="A81" s="104">
        <v>77</v>
      </c>
      <c r="B81" s="104" t="s">
        <v>75</v>
      </c>
      <c r="C81" s="111" t="s">
        <v>1008</v>
      </c>
      <c r="D81" s="104" t="s">
        <v>1009</v>
      </c>
      <c r="E81" s="104" t="s">
        <v>1010</v>
      </c>
      <c r="F81" s="104" t="s">
        <v>1011</v>
      </c>
      <c r="G81" s="104" t="s">
        <v>1012</v>
      </c>
      <c r="H81" s="104" t="s">
        <v>1013</v>
      </c>
      <c r="I81" s="104" t="s">
        <v>512</v>
      </c>
      <c r="J81" s="104" t="s">
        <v>1014</v>
      </c>
      <c r="K81" s="104" t="s">
        <v>949</v>
      </c>
      <c r="L81" s="104"/>
      <c r="M81" s="104"/>
      <c r="N81" s="104"/>
      <c r="O81" s="104" t="s">
        <v>85</v>
      </c>
      <c r="P81" s="104"/>
      <c r="Q81" s="102"/>
      <c r="R81" s="104"/>
      <c r="S81" s="104" t="s">
        <v>88</v>
      </c>
      <c r="T81" s="104"/>
      <c r="U81" s="104" t="s">
        <v>1015</v>
      </c>
      <c r="V81" s="104" t="s">
        <v>173</v>
      </c>
      <c r="W81" s="104" t="s">
        <v>1016</v>
      </c>
      <c r="X81" s="104" t="s">
        <v>1017</v>
      </c>
      <c r="Y81" s="104" t="s">
        <v>93</v>
      </c>
      <c r="Z81" s="104" t="s">
        <v>1018</v>
      </c>
      <c r="AA81" s="104" t="s">
        <v>93</v>
      </c>
      <c r="AB81" s="104" t="s">
        <v>93</v>
      </c>
      <c r="AC81" s="104" t="s">
        <v>93</v>
      </c>
      <c r="AD81" s="104" t="s">
        <v>1019</v>
      </c>
      <c r="AE81"/>
      <c r="AF81" s="30" t="str" cm="1">
        <f t="array" ref="AF81">_xlfn.IFS(COUNTIF(Table14623576[[#This Row],[PBT/ vPvB]],"*X*"), 20, TRUE, "")</f>
        <v/>
      </c>
      <c r="AG81" s="30" t="str" cm="1">
        <f t="array" ref="AG81">_xlfn.IFS(COUNTIF(Table14623576[[#This Row],[Perturbateur Endocrinien]],"*X*"), 20, TRUE, "")</f>
        <v/>
      </c>
      <c r="AH81" s="30" t="str" cm="1">
        <f t="array" ref="AH81">_xlfn.IFS(COUNTIF(Table14623576[[#This Row],[Phrases H]],"*H350*"), 20, TRUE, "")</f>
        <v/>
      </c>
      <c r="AI81" s="30" t="str" cm="1">
        <f t="array" ref="AI81">_xlfn.IFS(COUNTIF(Table14623576[[#This Row],[Phrases H]],"*H360*"), 20, TRUE, "")</f>
        <v/>
      </c>
      <c r="AJ81" s="30" t="str" cm="1">
        <f t="array" ref="AJ81">_xlfn.IFS(COUNTIF(Table14623576[[#This Row],[Phrases H]],"*H340*"), 20, TRUE, "")</f>
        <v/>
      </c>
      <c r="AK81" s="30" t="str" cm="1">
        <f t="array" ref="AK81">_xlfn.IFS(COUNTIF(Table14623576[[#This Row],[Phrases H]],"*H351*"), 10, TRUE, "")</f>
        <v/>
      </c>
      <c r="AL81" s="30" t="str" cm="1">
        <f t="array" ref="AL81">_xlfn.IFS(COUNTIF(Table14623576[[#This Row],[Phrases H]],"*H361*"), 10, TRUE, "")</f>
        <v/>
      </c>
      <c r="AM81" s="30" t="str" cm="1">
        <f t="array" ref="AM81">_xlfn.IFS(COUNTIF(Table14623576[[#This Row],[Phrases H]],"*H362*"), 10, TRUE, "")</f>
        <v/>
      </c>
      <c r="AN81" s="30" t="str" cm="1">
        <f t="array" ref="AN81">_xlfn.IFS(COUNTIF(Table14623576[[#This Row],[Phrases H]],"*H341*"), 10, TRUE, "")</f>
        <v/>
      </c>
      <c r="AO81" s="30" t="str" cm="1">
        <f t="array" ref="AO81">_xlfn.IFS(COUNTIF(Table14623576[[#This Row],[Phrases H]],"*H372*"), 10, TRUE, "")</f>
        <v/>
      </c>
      <c r="AP81" s="30" t="str" cm="1">
        <f t="array" ref="AP81">_xlfn.IFS(COUNTIF(Table14623576[[#This Row],[Phrases H]],"*H410*"), 10, TRUE, "")</f>
        <v/>
      </c>
      <c r="AQ81" s="30" t="str" cm="1">
        <f t="array" ref="AQ81">_xlfn.IFS(COUNTIF(Table14623576[[#This Row],[Phrases H]],"*H373*"), 5, TRUE, "")</f>
        <v/>
      </c>
      <c r="AR81" s="30" t="str" cm="1">
        <f t="array" ref="AR81">_xlfn.IFS(COUNTIF(Table14623576[[#This Row],[Phrases H]],"*H411*"), 5, TRUE, "")</f>
        <v/>
      </c>
      <c r="AS81" s="112">
        <f t="shared" si="53"/>
        <v>0</v>
      </c>
      <c r="AT81" s="113" t="s">
        <v>88</v>
      </c>
      <c r="AU81" s="113">
        <v>100000</v>
      </c>
      <c r="AV81" s="114">
        <f t="shared" si="41"/>
        <v>50</v>
      </c>
      <c r="AW81" s="115">
        <f>IF(OR(AV81=30,AV81=40),10,IF(AV81=50,20,"0"))</f>
        <v>20</v>
      </c>
      <c r="AX81" s="116">
        <f t="shared" si="42"/>
        <v>20</v>
      </c>
      <c r="AY81" s="117">
        <f t="shared" si="43"/>
        <v>0.23529411764705882</v>
      </c>
      <c r="AZ81" s="118" t="str">
        <f t="shared" si="54"/>
        <v>4</v>
      </c>
      <c r="BA81" s="119" t="str">
        <f t="shared" si="44"/>
        <v>4</v>
      </c>
      <c r="BB81" s="32"/>
      <c r="BC81" s="113">
        <v>10000000</v>
      </c>
      <c r="BD81" s="113" t="s">
        <v>97</v>
      </c>
      <c r="BE81" s="120">
        <f t="shared" si="59"/>
        <v>25</v>
      </c>
      <c r="BF81" s="121" t="str">
        <f t="shared" si="55"/>
        <v>Production très élevée</v>
      </c>
      <c r="BG81" s="122" t="str">
        <f t="shared" si="56"/>
        <v>A</v>
      </c>
      <c r="BH81" s="32"/>
      <c r="BI81" s="7"/>
      <c r="BJ81" s="5">
        <v>0</v>
      </c>
      <c r="BK81" s="7"/>
      <c r="BL81" s="131">
        <v>0</v>
      </c>
      <c r="BM81" s="132" t="s">
        <v>99</v>
      </c>
      <c r="BN81"/>
      <c r="BO81" s="60" t="str">
        <f t="shared" si="58"/>
        <v>Catégorie 4A NON</v>
      </c>
      <c r="BP81"/>
      <c r="BQ81" s="42" t="s">
        <v>88</v>
      </c>
      <c r="BR81"/>
      <c r="BS81" s="187" t="str">
        <f t="shared" si="45"/>
        <v/>
      </c>
      <c r="BT81" s="19" t="str">
        <f t="shared" si="46"/>
        <v/>
      </c>
      <c r="BU81" s="19" t="str">
        <f t="shared" si="47"/>
        <v/>
      </c>
      <c r="BV81" s="10"/>
      <c r="BW81" s="5" t="str">
        <f t="shared" si="48"/>
        <v/>
      </c>
      <c r="BX81" s="5" t="str">
        <f t="shared" si="49"/>
        <v/>
      </c>
      <c r="BY81"/>
      <c r="BZ81" s="5" t="str">
        <f t="shared" si="50"/>
        <v/>
      </c>
      <c r="CA81" s="5" t="str">
        <f t="shared" si="51"/>
        <v/>
      </c>
      <c r="CB81" s="188" t="str">
        <f t="shared" si="52"/>
        <v/>
      </c>
    </row>
    <row r="82" spans="1:80" s="27" customFormat="1" ht="30" customHeight="1" x14ac:dyDescent="0.55000000000000004">
      <c r="A82" s="104">
        <v>78</v>
      </c>
      <c r="B82" s="104" t="s">
        <v>75</v>
      </c>
      <c r="C82" s="111" t="s">
        <v>1020</v>
      </c>
      <c r="D82" s="104" t="s">
        <v>77</v>
      </c>
      <c r="E82" s="104" t="s">
        <v>1021</v>
      </c>
      <c r="F82" s="104" t="s">
        <v>1022</v>
      </c>
      <c r="G82" s="104" t="s">
        <v>1023</v>
      </c>
      <c r="H82" s="104" t="s">
        <v>1024</v>
      </c>
      <c r="I82" s="104" t="s">
        <v>512</v>
      </c>
      <c r="J82" s="104" t="s">
        <v>1025</v>
      </c>
      <c r="K82" s="104" t="s">
        <v>788</v>
      </c>
      <c r="L82" s="104"/>
      <c r="M82" s="104"/>
      <c r="N82" s="104"/>
      <c r="O82" s="104"/>
      <c r="P82" s="104" t="s">
        <v>85</v>
      </c>
      <c r="Q82" s="102"/>
      <c r="R82" s="104"/>
      <c r="S82" s="104" t="s">
        <v>88</v>
      </c>
      <c r="T82" s="104"/>
      <c r="U82" s="104" t="s">
        <v>108</v>
      </c>
      <c r="V82" s="104" t="s">
        <v>88</v>
      </c>
      <c r="W82" s="138" t="s">
        <v>527</v>
      </c>
      <c r="X82" s="104" t="s">
        <v>335</v>
      </c>
      <c r="Y82" s="104" t="s">
        <v>93</v>
      </c>
      <c r="Z82" s="104" t="s">
        <v>93</v>
      </c>
      <c r="AA82" s="104" t="s">
        <v>93</v>
      </c>
      <c r="AB82" s="104" t="s">
        <v>93</v>
      </c>
      <c r="AC82" s="104" t="s">
        <v>93</v>
      </c>
      <c r="AD82" s="104" t="s">
        <v>1026</v>
      </c>
      <c r="AE82"/>
      <c r="AF82" s="30" t="str" cm="1">
        <f t="array" ref="AF82">_xlfn.IFS(COUNTIF(Table14623576[[#This Row],[PBT/ vPvB]],"*X*"), 20, TRUE, "")</f>
        <v/>
      </c>
      <c r="AG82" s="30" t="str" cm="1">
        <f t="array" ref="AG82">_xlfn.IFS(COUNTIF(Table14623576[[#This Row],[Perturbateur Endocrinien]],"*X*"), 20, TRUE, "")</f>
        <v/>
      </c>
      <c r="AH82" s="30" t="str" cm="1">
        <f t="array" ref="AH82">_xlfn.IFS(COUNTIF(Table14623576[[#This Row],[Phrases H]],"*H350*"), 20, TRUE, "")</f>
        <v/>
      </c>
      <c r="AI82" s="30" t="str" cm="1">
        <f t="array" ref="AI82">_xlfn.IFS(COUNTIF(Table14623576[[#This Row],[Phrases H]],"*H360*"), 20, TRUE, "")</f>
        <v/>
      </c>
      <c r="AJ82" s="30" t="str" cm="1">
        <f t="array" ref="AJ82">_xlfn.IFS(COUNTIF(Table14623576[[#This Row],[Phrases H]],"*H340*"), 20, TRUE, "")</f>
        <v/>
      </c>
      <c r="AK82" s="30" t="str" cm="1">
        <f t="array" ref="AK82">_xlfn.IFS(COUNTIF(Table14623576[[#This Row],[Phrases H]],"*H351*"), 10, TRUE, "")</f>
        <v/>
      </c>
      <c r="AL82" s="30" t="str" cm="1">
        <f t="array" ref="AL82">_xlfn.IFS(COUNTIF(Table14623576[[#This Row],[Phrases H]],"*H361*"), 10, TRUE, "")</f>
        <v/>
      </c>
      <c r="AM82" s="30" t="str" cm="1">
        <f t="array" ref="AM82">_xlfn.IFS(COUNTIF(Table14623576[[#This Row],[Phrases H]],"*H362*"), 10, TRUE, "")</f>
        <v/>
      </c>
      <c r="AN82" s="30" t="str" cm="1">
        <f t="array" ref="AN82">_xlfn.IFS(COUNTIF(Table14623576[[#This Row],[Phrases H]],"*H341*"), 10, TRUE, "")</f>
        <v/>
      </c>
      <c r="AO82" s="30" t="str" cm="1">
        <f t="array" ref="AO82">_xlfn.IFS(COUNTIF(Table14623576[[#This Row],[Phrases H]],"*H372*"), 10, TRUE, "")</f>
        <v/>
      </c>
      <c r="AP82" s="30" t="str" cm="1">
        <f t="array" ref="AP82">_xlfn.IFS(COUNTIF(Table14623576[[#This Row],[Phrases H]],"*H410*"), 10, TRUE, "")</f>
        <v/>
      </c>
      <c r="AQ82" s="30" t="str" cm="1">
        <f t="array" ref="AQ82">_xlfn.IFS(COUNTIF(Table14623576[[#This Row],[Phrases H]],"*H373*"), 5, TRUE, "")</f>
        <v/>
      </c>
      <c r="AR82" s="30" t="str" cm="1">
        <f t="array" ref="AR82">_xlfn.IFS(COUNTIF(Table14623576[[#This Row],[Phrases H]],"*H411*"), 5, TRUE, "")</f>
        <v/>
      </c>
      <c r="AS82" s="112">
        <f t="shared" si="53"/>
        <v>0</v>
      </c>
      <c r="AT82" s="113" t="s">
        <v>88</v>
      </c>
      <c r="AU82" s="139">
        <v>1E+47</v>
      </c>
      <c r="AV82" s="114">
        <f t="shared" si="41"/>
        <v>50</v>
      </c>
      <c r="AW82" s="115">
        <f>IF(OR(AV82=30,AV82=40),10,IF(AV82=50,20,"0"))</f>
        <v>20</v>
      </c>
      <c r="AX82" s="116">
        <f t="shared" si="42"/>
        <v>20</v>
      </c>
      <c r="AY82" s="117">
        <f t="shared" si="43"/>
        <v>0.23529411764705882</v>
      </c>
      <c r="AZ82" s="118" t="str">
        <f t="shared" si="54"/>
        <v>4</v>
      </c>
      <c r="BA82" s="119" t="str">
        <f t="shared" si="44"/>
        <v>4</v>
      </c>
      <c r="BB82" s="32"/>
      <c r="BC82" s="113">
        <v>1000000</v>
      </c>
      <c r="BD82" s="113" t="s">
        <v>97</v>
      </c>
      <c r="BE82" s="120">
        <f t="shared" si="59"/>
        <v>25</v>
      </c>
      <c r="BF82" s="121" t="str">
        <f t="shared" si="55"/>
        <v>Production très élevée</v>
      </c>
      <c r="BG82" s="122" t="str">
        <f t="shared" si="56"/>
        <v>A</v>
      </c>
      <c r="BH82" s="32"/>
      <c r="BI82" s="7"/>
      <c r="BJ82" s="5">
        <v>0</v>
      </c>
      <c r="BK82" s="7"/>
      <c r="BL82" s="131">
        <v>0</v>
      </c>
      <c r="BM82" s="132" t="s">
        <v>99</v>
      </c>
      <c r="BN82"/>
      <c r="BO82" s="60" t="str">
        <f t="shared" si="58"/>
        <v>Catégorie 4A NON</v>
      </c>
      <c r="BP82"/>
      <c r="BQ82" s="42" t="s">
        <v>150</v>
      </c>
      <c r="BR82"/>
      <c r="BS82" s="187" t="str">
        <f t="shared" si="45"/>
        <v/>
      </c>
      <c r="BT82" s="19" t="str">
        <f t="shared" si="46"/>
        <v/>
      </c>
      <c r="BU82" s="19" t="str">
        <f t="shared" si="47"/>
        <v/>
      </c>
      <c r="BV82" s="10"/>
      <c r="BW82" s="5" t="str">
        <f t="shared" si="48"/>
        <v/>
      </c>
      <c r="BX82" s="5" t="str">
        <f t="shared" si="49"/>
        <v/>
      </c>
      <c r="BY82"/>
      <c r="BZ82" s="5" t="str">
        <f t="shared" si="50"/>
        <v/>
      </c>
      <c r="CA82" s="5" t="str">
        <f t="shared" si="51"/>
        <v/>
      </c>
      <c r="CB82" s="188" t="str">
        <f t="shared" si="52"/>
        <v/>
      </c>
    </row>
    <row r="83" spans="1:80" s="27" customFormat="1" ht="30" customHeight="1" x14ac:dyDescent="0.55000000000000004">
      <c r="A83" s="104">
        <v>79</v>
      </c>
      <c r="B83" s="104" t="s">
        <v>75</v>
      </c>
      <c r="C83" s="111" t="s">
        <v>1027</v>
      </c>
      <c r="D83" s="104" t="s">
        <v>1028</v>
      </c>
      <c r="E83" s="104" t="s">
        <v>1029</v>
      </c>
      <c r="F83" s="104" t="s">
        <v>1030</v>
      </c>
      <c r="G83" s="104" t="s">
        <v>1031</v>
      </c>
      <c r="H83" s="104" t="s">
        <v>1032</v>
      </c>
      <c r="I83" s="104" t="s">
        <v>512</v>
      </c>
      <c r="J83" s="104" t="s">
        <v>1014</v>
      </c>
      <c r="K83" s="104" t="s">
        <v>949</v>
      </c>
      <c r="L83" s="104"/>
      <c r="M83" s="104"/>
      <c r="N83" s="104"/>
      <c r="O83" s="104"/>
      <c r="P83" s="104" t="s">
        <v>85</v>
      </c>
      <c r="Q83" s="102"/>
      <c r="R83" s="104"/>
      <c r="S83" s="104" t="s">
        <v>88</v>
      </c>
      <c r="T83" s="104"/>
      <c r="U83" s="104" t="s">
        <v>1033</v>
      </c>
      <c r="V83" s="104" t="s">
        <v>88</v>
      </c>
      <c r="W83" s="138" t="s">
        <v>1034</v>
      </c>
      <c r="X83" s="104" t="s">
        <v>1035</v>
      </c>
      <c r="Y83" s="104" t="s">
        <v>1036</v>
      </c>
      <c r="Z83" s="104" t="s">
        <v>1037</v>
      </c>
      <c r="AA83" s="104" t="s">
        <v>93</v>
      </c>
      <c r="AB83" s="104" t="s">
        <v>1038</v>
      </c>
      <c r="AC83" s="104" t="s">
        <v>1039</v>
      </c>
      <c r="AD83" s="104" t="s">
        <v>1040</v>
      </c>
      <c r="AE83"/>
      <c r="AF83" s="30" t="str" cm="1">
        <f t="array" ref="AF83">_xlfn.IFS(COUNTIF(Table14623576[[#This Row],[PBT/ vPvB]],"*X*"), 20, TRUE, "")</f>
        <v/>
      </c>
      <c r="AG83" s="30" t="str" cm="1">
        <f t="array" ref="AG83">_xlfn.IFS(COUNTIF(Table14623576[[#This Row],[Perturbateur Endocrinien]],"*X*"), 20, TRUE, "")</f>
        <v/>
      </c>
      <c r="AH83" s="30" t="str" cm="1">
        <f t="array" ref="AH83">_xlfn.IFS(COUNTIF(Table14623576[[#This Row],[Phrases H]],"*H350*"), 20, TRUE, "")</f>
        <v/>
      </c>
      <c r="AI83" s="30" t="str" cm="1">
        <f t="array" ref="AI83">_xlfn.IFS(COUNTIF(Table14623576[[#This Row],[Phrases H]],"*H360*"), 20, TRUE, "")</f>
        <v/>
      </c>
      <c r="AJ83" s="30" t="str" cm="1">
        <f t="array" ref="AJ83">_xlfn.IFS(COUNTIF(Table14623576[[#This Row],[Phrases H]],"*H340*"), 20, TRUE, "")</f>
        <v/>
      </c>
      <c r="AK83" s="30" t="str" cm="1">
        <f t="array" ref="AK83">_xlfn.IFS(COUNTIF(Table14623576[[#This Row],[Phrases H]],"*H351*"), 10, TRUE, "")</f>
        <v/>
      </c>
      <c r="AL83" s="30" t="str" cm="1">
        <f t="array" ref="AL83">_xlfn.IFS(COUNTIF(Table14623576[[#This Row],[Phrases H]],"*H361*"), 10, TRUE, "")</f>
        <v/>
      </c>
      <c r="AM83" s="30" t="str" cm="1">
        <f t="array" ref="AM83">_xlfn.IFS(COUNTIF(Table14623576[[#This Row],[Phrases H]],"*H362*"), 10, TRUE, "")</f>
        <v/>
      </c>
      <c r="AN83" s="30" t="str" cm="1">
        <f t="array" ref="AN83">_xlfn.IFS(COUNTIF(Table14623576[[#This Row],[Phrases H]],"*H341*"), 10, TRUE, "")</f>
        <v/>
      </c>
      <c r="AO83" s="30" t="str" cm="1">
        <f t="array" ref="AO83">_xlfn.IFS(COUNTIF(Table14623576[[#This Row],[Phrases H]],"*H372*"), 10, TRUE, "")</f>
        <v/>
      </c>
      <c r="AP83" s="30" t="str" cm="1">
        <f t="array" ref="AP83">_xlfn.IFS(COUNTIF(Table14623576[[#This Row],[Phrases H]],"*H410*"), 10, TRUE, "")</f>
        <v/>
      </c>
      <c r="AQ83" s="30" t="str" cm="1">
        <f t="array" ref="AQ83">_xlfn.IFS(COUNTIF(Table14623576[[#This Row],[Phrases H]],"*H373*"), 5, TRUE, "")</f>
        <v/>
      </c>
      <c r="AR83" s="30" cm="1">
        <f t="array" ref="AR83">_xlfn.IFS(COUNTIF(Table14623576[[#This Row],[Phrases H]],"*H411*"), 5, TRUE, "")</f>
        <v>5</v>
      </c>
      <c r="AS83" s="112">
        <f t="shared" si="53"/>
        <v>5</v>
      </c>
      <c r="AT83" s="113" t="s">
        <v>1038</v>
      </c>
      <c r="AU83" s="139">
        <v>482000</v>
      </c>
      <c r="AV83" s="114">
        <f t="shared" si="41"/>
        <v>50</v>
      </c>
      <c r="AW83" s="115" t="str">
        <f>IF(AT83="0","0",IF(AT83&lt;2,"20",IF(AT83&lt;3,"10","0")))</f>
        <v>0</v>
      </c>
      <c r="AX83" s="116">
        <f t="shared" si="42"/>
        <v>5</v>
      </c>
      <c r="AY83" s="117">
        <f t="shared" si="43"/>
        <v>5.8823529411764705E-2</v>
      </c>
      <c r="AZ83" s="118" t="str">
        <f t="shared" si="54"/>
        <v>5</v>
      </c>
      <c r="BA83" s="119" t="str">
        <f t="shared" si="44"/>
        <v>5</v>
      </c>
      <c r="BB83" s="32"/>
      <c r="BC83" s="113">
        <v>10000000</v>
      </c>
      <c r="BD83" s="113" t="s">
        <v>97</v>
      </c>
      <c r="BE83" s="120">
        <f t="shared" si="59"/>
        <v>25</v>
      </c>
      <c r="BF83" s="121" t="str">
        <f t="shared" si="55"/>
        <v>Production très élevée</v>
      </c>
      <c r="BG83" s="122" t="str">
        <f t="shared" si="56"/>
        <v>A</v>
      </c>
      <c r="BH83" s="32"/>
      <c r="BI83" s="7"/>
      <c r="BJ83" s="5">
        <v>0</v>
      </c>
      <c r="BK83" s="7"/>
      <c r="BL83" s="131">
        <v>0</v>
      </c>
      <c r="BM83" s="132" t="s">
        <v>99</v>
      </c>
      <c r="BN83"/>
      <c r="BO83" s="60" t="str">
        <f t="shared" si="58"/>
        <v>Catégorie 5A NON</v>
      </c>
      <c r="BP83"/>
      <c r="BQ83" s="42" t="s">
        <v>88</v>
      </c>
      <c r="BR83"/>
      <c r="BS83" s="187" t="str">
        <f t="shared" si="45"/>
        <v/>
      </c>
      <c r="BT83" s="19" t="str">
        <f t="shared" si="46"/>
        <v/>
      </c>
      <c r="BU83" s="19" t="str">
        <f t="shared" si="47"/>
        <v/>
      </c>
      <c r="BV83" s="10"/>
      <c r="BW83" s="5" t="str">
        <f t="shared" si="48"/>
        <v/>
      </c>
      <c r="BX83" s="5" t="str">
        <f t="shared" si="49"/>
        <v/>
      </c>
      <c r="BY83"/>
      <c r="BZ83" s="5" t="str">
        <f t="shared" si="50"/>
        <v/>
      </c>
      <c r="CA83" s="5" t="str">
        <f t="shared" si="51"/>
        <v/>
      </c>
      <c r="CB83" s="188" t="str">
        <f t="shared" si="52"/>
        <v/>
      </c>
    </row>
    <row r="84" spans="1:80" s="27" customFormat="1" ht="30" customHeight="1" x14ac:dyDescent="0.55000000000000004">
      <c r="A84" s="104">
        <v>80</v>
      </c>
      <c r="B84" s="104" t="s">
        <v>75</v>
      </c>
      <c r="C84" s="111" t="s">
        <v>1041</v>
      </c>
      <c r="D84" s="104" t="s">
        <v>77</v>
      </c>
      <c r="E84" s="104" t="s">
        <v>1042</v>
      </c>
      <c r="F84" s="104" t="s">
        <v>1043</v>
      </c>
      <c r="G84" s="104" t="s">
        <v>1044</v>
      </c>
      <c r="H84" s="104" t="s">
        <v>1045</v>
      </c>
      <c r="I84" s="104" t="s">
        <v>512</v>
      </c>
      <c r="J84" s="104" t="s">
        <v>1046</v>
      </c>
      <c r="K84" s="104" t="s">
        <v>292</v>
      </c>
      <c r="L84" s="104"/>
      <c r="M84" s="104"/>
      <c r="N84" s="104"/>
      <c r="O84" s="104"/>
      <c r="P84" s="104" t="s">
        <v>85</v>
      </c>
      <c r="Q84" s="102"/>
      <c r="R84" s="104"/>
      <c r="S84" s="104" t="s">
        <v>88</v>
      </c>
      <c r="T84" s="104"/>
      <c r="U84" s="104" t="s">
        <v>88</v>
      </c>
      <c r="V84" s="104" t="s">
        <v>122</v>
      </c>
      <c r="W84" s="104" t="s">
        <v>1047</v>
      </c>
      <c r="X84" s="104" t="s">
        <v>1048</v>
      </c>
      <c r="Y84" s="104" t="s">
        <v>93</v>
      </c>
      <c r="Z84" s="104" t="s">
        <v>93</v>
      </c>
      <c r="AA84" s="104" t="s">
        <v>93</v>
      </c>
      <c r="AB84" s="104" t="s">
        <v>93</v>
      </c>
      <c r="AC84" s="104" t="s">
        <v>93</v>
      </c>
      <c r="AD84" s="104" t="s">
        <v>1049</v>
      </c>
      <c r="AE84"/>
      <c r="AF84" s="30" t="str" cm="1">
        <f t="array" ref="AF84">_xlfn.IFS(COUNTIF(Table14623576[[#This Row],[PBT/ vPvB]],"*X*"), 20, TRUE, "")</f>
        <v/>
      </c>
      <c r="AG84" s="30" t="str" cm="1">
        <f t="array" ref="AG84">_xlfn.IFS(COUNTIF(Table14623576[[#This Row],[Perturbateur Endocrinien]],"*X*"), 20, TRUE, "")</f>
        <v/>
      </c>
      <c r="AH84" s="30" t="str" cm="1">
        <f t="array" ref="AH84">_xlfn.IFS(COUNTIF(Table14623576[[#This Row],[Phrases H]],"*H350*"), 20, TRUE, "")</f>
        <v/>
      </c>
      <c r="AI84" s="30" t="str" cm="1">
        <f t="array" ref="AI84">_xlfn.IFS(COUNTIF(Table14623576[[#This Row],[Phrases H]],"*H360*"), 20, TRUE, "")</f>
        <v/>
      </c>
      <c r="AJ84" s="30" t="str" cm="1">
        <f t="array" ref="AJ84">_xlfn.IFS(COUNTIF(Table14623576[[#This Row],[Phrases H]],"*H340*"), 20, TRUE, "")</f>
        <v/>
      </c>
      <c r="AK84" s="30" t="str" cm="1">
        <f t="array" ref="AK84">_xlfn.IFS(COUNTIF(Table14623576[[#This Row],[Phrases H]],"*H351*"), 10, TRUE, "")</f>
        <v/>
      </c>
      <c r="AL84" s="30" t="str" cm="1">
        <f t="array" ref="AL84">_xlfn.IFS(COUNTIF(Table14623576[[#This Row],[Phrases H]],"*H361*"), 10, TRUE, "")</f>
        <v/>
      </c>
      <c r="AM84" s="30" t="str" cm="1">
        <f t="array" ref="AM84">_xlfn.IFS(COUNTIF(Table14623576[[#This Row],[Phrases H]],"*H362*"), 10, TRUE, "")</f>
        <v/>
      </c>
      <c r="AN84" s="30" t="str" cm="1">
        <f t="array" ref="AN84">_xlfn.IFS(COUNTIF(Table14623576[[#This Row],[Phrases H]],"*H341*"), 10, TRUE, "")</f>
        <v/>
      </c>
      <c r="AO84" s="30" t="str" cm="1">
        <f t="array" ref="AO84">_xlfn.IFS(COUNTIF(Table14623576[[#This Row],[Phrases H]],"*H372*"), 10, TRUE, "")</f>
        <v/>
      </c>
      <c r="AP84" s="30" t="str" cm="1">
        <f t="array" ref="AP84">_xlfn.IFS(COUNTIF(Table14623576[[#This Row],[Phrases H]],"*H410*"), 10, TRUE, "")</f>
        <v/>
      </c>
      <c r="AQ84" s="30" t="str" cm="1">
        <f t="array" ref="AQ84">_xlfn.IFS(COUNTIF(Table14623576[[#This Row],[Phrases H]],"*H373*"), 5, TRUE, "")</f>
        <v/>
      </c>
      <c r="AR84" s="30" t="str" cm="1">
        <f t="array" ref="AR84">_xlfn.IFS(COUNTIF(Table14623576[[#This Row],[Phrases H]],"*H411*"), 5, TRUE, "")</f>
        <v/>
      </c>
      <c r="AS84" s="112">
        <f t="shared" si="53"/>
        <v>0</v>
      </c>
      <c r="AT84" s="113" t="s">
        <v>88</v>
      </c>
      <c r="AU84" s="113">
        <v>3.3</v>
      </c>
      <c r="AV84" s="114">
        <f t="shared" si="41"/>
        <v>20</v>
      </c>
      <c r="AW84" s="115" t="str">
        <f t="shared" ref="AW84:AW96" si="60">IF(OR(AV84=30,AV84=40),10,IF(AV84=50,20,"0"))</f>
        <v>0</v>
      </c>
      <c r="AX84" s="116">
        <f t="shared" si="42"/>
        <v>0</v>
      </c>
      <c r="AY84" s="117">
        <f t="shared" si="43"/>
        <v>0</v>
      </c>
      <c r="AZ84" s="118" t="str">
        <f t="shared" si="54"/>
        <v>5</v>
      </c>
      <c r="BA84" s="119" t="str">
        <f t="shared" si="44"/>
        <v>5</v>
      </c>
      <c r="BB84" s="32"/>
      <c r="BC84" s="113">
        <v>10000</v>
      </c>
      <c r="BD84" s="113" t="s">
        <v>97</v>
      </c>
      <c r="BE84" s="120">
        <f t="shared" si="59"/>
        <v>20</v>
      </c>
      <c r="BF84" s="121" t="str">
        <f t="shared" si="55"/>
        <v>Production élevée</v>
      </c>
      <c r="BG84" s="122" t="str">
        <f t="shared" si="56"/>
        <v>B</v>
      </c>
      <c r="BH84" s="32"/>
      <c r="BI84" s="7" t="s">
        <v>889</v>
      </c>
      <c r="BJ84" s="130">
        <v>1</v>
      </c>
      <c r="BK84" s="7" t="s">
        <v>889</v>
      </c>
      <c r="BL84" s="131">
        <v>1</v>
      </c>
      <c r="BM84" s="132" t="s">
        <v>131</v>
      </c>
      <c r="BN84"/>
      <c r="BO84" s="60" t="str">
        <f t="shared" si="58"/>
        <v>Catégorie 5B OUI</v>
      </c>
      <c r="BP84"/>
      <c r="BQ84" s="42" t="s">
        <v>150</v>
      </c>
      <c r="BR84"/>
      <c r="BS84" s="187" t="str">
        <f t="shared" si="45"/>
        <v/>
      </c>
      <c r="BT84" s="19" t="str">
        <f t="shared" si="46"/>
        <v/>
      </c>
      <c r="BU84" s="19" t="str">
        <f t="shared" si="47"/>
        <v/>
      </c>
      <c r="BV84" s="10"/>
      <c r="BW84" s="5" t="str">
        <f t="shared" si="48"/>
        <v/>
      </c>
      <c r="BX84" s="5" t="str">
        <f t="shared" si="49"/>
        <v>X</v>
      </c>
      <c r="BY84"/>
      <c r="BZ84" s="5" t="str">
        <f t="shared" si="50"/>
        <v>X</v>
      </c>
      <c r="CA84" s="5" t="str">
        <f t="shared" si="51"/>
        <v>X</v>
      </c>
      <c r="CB84" s="188" t="str">
        <f t="shared" si="52"/>
        <v>X</v>
      </c>
    </row>
    <row r="85" spans="1:80" s="27" customFormat="1" ht="30" customHeight="1" x14ac:dyDescent="0.55000000000000004">
      <c r="A85" s="104">
        <v>81</v>
      </c>
      <c r="B85" s="104" t="s">
        <v>75</v>
      </c>
      <c r="C85" s="111" t="s">
        <v>1050</v>
      </c>
      <c r="D85" s="104" t="s">
        <v>1051</v>
      </c>
      <c r="E85" s="104" t="s">
        <v>1052</v>
      </c>
      <c r="F85" s="104" t="s">
        <v>1053</v>
      </c>
      <c r="G85" s="104" t="s">
        <v>1054</v>
      </c>
      <c r="H85" s="104" t="s">
        <v>1055</v>
      </c>
      <c r="I85" s="104" t="s">
        <v>512</v>
      </c>
      <c r="J85" s="104" t="s">
        <v>733</v>
      </c>
      <c r="K85" s="104" t="s">
        <v>84</v>
      </c>
      <c r="L85" s="104"/>
      <c r="M85" s="104"/>
      <c r="N85" s="104"/>
      <c r="O85" s="104"/>
      <c r="P85" s="104"/>
      <c r="Q85" s="102"/>
      <c r="R85" s="104"/>
      <c r="S85" s="104" t="s">
        <v>88</v>
      </c>
      <c r="T85" s="104"/>
      <c r="U85" s="104" t="s">
        <v>1056</v>
      </c>
      <c r="V85" s="104" t="s">
        <v>122</v>
      </c>
      <c r="W85" s="104" t="s">
        <v>1057</v>
      </c>
      <c r="X85" s="104" t="s">
        <v>93</v>
      </c>
      <c r="Y85" s="104" t="s">
        <v>93</v>
      </c>
      <c r="Z85" s="104" t="s">
        <v>93</v>
      </c>
      <c r="AA85" s="104" t="s">
        <v>93</v>
      </c>
      <c r="AB85" s="104" t="s">
        <v>93</v>
      </c>
      <c r="AC85" s="104" t="s">
        <v>93</v>
      </c>
      <c r="AD85" s="104" t="s">
        <v>1058</v>
      </c>
      <c r="AE85"/>
      <c r="AF85" s="30" t="str" cm="1">
        <f t="array" ref="AF85">_xlfn.IFS(COUNTIF(Table14623576[[#This Row],[PBT/ vPvB]],"*X*"), 20, TRUE, "")</f>
        <v/>
      </c>
      <c r="AG85" s="30" t="str" cm="1">
        <f t="array" ref="AG85">_xlfn.IFS(COUNTIF(Table14623576[[#This Row],[Perturbateur Endocrinien]],"*X*"), 20, TRUE, "")</f>
        <v/>
      </c>
      <c r="AH85" s="30" t="str" cm="1">
        <f t="array" ref="AH85">_xlfn.IFS(COUNTIF(Table14623576[[#This Row],[Phrases H]],"*H350*"), 20, TRUE, "")</f>
        <v/>
      </c>
      <c r="AI85" s="30" t="str" cm="1">
        <f t="array" ref="AI85">_xlfn.IFS(COUNTIF(Table14623576[[#This Row],[Phrases H]],"*H360*"), 20, TRUE, "")</f>
        <v/>
      </c>
      <c r="AJ85" s="30" t="str" cm="1">
        <f t="array" ref="AJ85">_xlfn.IFS(COUNTIF(Table14623576[[#This Row],[Phrases H]],"*H340*"), 20, TRUE, "")</f>
        <v/>
      </c>
      <c r="AK85" s="30" t="str" cm="1">
        <f t="array" ref="AK85">_xlfn.IFS(COUNTIF(Table14623576[[#This Row],[Phrases H]],"*H351*"), 10, TRUE, "")</f>
        <v/>
      </c>
      <c r="AL85" s="30" cm="1">
        <f t="array" ref="AL85">_xlfn.IFS(COUNTIF(Table14623576[[#This Row],[Phrases H]],"*H361*"), 10, TRUE, "")</f>
        <v>10</v>
      </c>
      <c r="AM85" s="30" t="str" cm="1">
        <f t="array" ref="AM85">_xlfn.IFS(COUNTIF(Table14623576[[#This Row],[Phrases H]],"*H362*"), 10, TRUE, "")</f>
        <v/>
      </c>
      <c r="AN85" s="30" t="str" cm="1">
        <f t="array" ref="AN85">_xlfn.IFS(COUNTIF(Table14623576[[#This Row],[Phrases H]],"*H341*"), 10, TRUE, "")</f>
        <v/>
      </c>
      <c r="AO85" s="30" t="str" cm="1">
        <f t="array" ref="AO85">_xlfn.IFS(COUNTIF(Table14623576[[#This Row],[Phrases H]],"*H372*"), 10, TRUE, "")</f>
        <v/>
      </c>
      <c r="AP85" s="30" t="str" cm="1">
        <f t="array" ref="AP85">_xlfn.IFS(COUNTIF(Table14623576[[#This Row],[Phrases H]],"*H410*"), 10, TRUE, "")</f>
        <v/>
      </c>
      <c r="AQ85" s="30" t="str" cm="1">
        <f t="array" ref="AQ85">_xlfn.IFS(COUNTIF(Table14623576[[#This Row],[Phrases H]],"*H373*"), 5, TRUE, "")</f>
        <v/>
      </c>
      <c r="AR85" s="30" t="str" cm="1">
        <f t="array" ref="AR85">_xlfn.IFS(COUNTIF(Table14623576[[#This Row],[Phrases H]],"*H411*"), 5, TRUE, "")</f>
        <v/>
      </c>
      <c r="AS85" s="112">
        <f t="shared" si="53"/>
        <v>10</v>
      </c>
      <c r="AT85" s="113" t="s">
        <v>88</v>
      </c>
      <c r="AU85" s="113">
        <v>300200</v>
      </c>
      <c r="AV85" s="114">
        <f t="shared" si="41"/>
        <v>50</v>
      </c>
      <c r="AW85" s="115">
        <f t="shared" si="60"/>
        <v>20</v>
      </c>
      <c r="AX85" s="116">
        <f t="shared" si="42"/>
        <v>30</v>
      </c>
      <c r="AY85" s="117">
        <f t="shared" si="43"/>
        <v>0.35294117647058826</v>
      </c>
      <c r="AZ85" s="118" t="str">
        <f t="shared" si="54"/>
        <v>4</v>
      </c>
      <c r="BA85" s="119" t="str">
        <f t="shared" si="44"/>
        <v>4</v>
      </c>
      <c r="BB85" s="32"/>
      <c r="BC85" s="113">
        <v>1000</v>
      </c>
      <c r="BD85" s="113" t="s">
        <v>97</v>
      </c>
      <c r="BE85" s="120">
        <f t="shared" si="59"/>
        <v>15</v>
      </c>
      <c r="BF85" s="121" t="str">
        <f t="shared" si="55"/>
        <v>Production modérée</v>
      </c>
      <c r="BG85" s="122" t="str">
        <f t="shared" si="56"/>
        <v>C</v>
      </c>
      <c r="BH85" s="32"/>
      <c r="BI85" s="7"/>
      <c r="BJ85" s="5">
        <v>0</v>
      </c>
      <c r="BK85" s="7"/>
      <c r="BL85" s="131">
        <v>0</v>
      </c>
      <c r="BM85" s="132" t="s">
        <v>99</v>
      </c>
      <c r="BN85"/>
      <c r="BO85" s="60" t="str">
        <f t="shared" si="58"/>
        <v>Catégorie 4C NON</v>
      </c>
      <c r="BP85"/>
      <c r="BQ85" s="42" t="s">
        <v>88</v>
      </c>
      <c r="BR85"/>
      <c r="BS85" s="187" t="str">
        <f t="shared" si="45"/>
        <v/>
      </c>
      <c r="BT85" s="19" t="str">
        <f t="shared" si="46"/>
        <v/>
      </c>
      <c r="BU85" s="19" t="str">
        <f t="shared" si="47"/>
        <v/>
      </c>
      <c r="BV85" s="10"/>
      <c r="BW85" s="5" t="str">
        <f t="shared" si="48"/>
        <v/>
      </c>
      <c r="BX85" s="5" t="str">
        <f t="shared" si="49"/>
        <v/>
      </c>
      <c r="BY85"/>
      <c r="BZ85" s="5" t="str">
        <f t="shared" si="50"/>
        <v/>
      </c>
      <c r="CA85" s="5" t="str">
        <f t="shared" si="51"/>
        <v/>
      </c>
      <c r="CB85" s="188" t="str">
        <f t="shared" si="52"/>
        <v/>
      </c>
    </row>
    <row r="86" spans="1:80" s="27" customFormat="1" ht="53.5" customHeight="1" x14ac:dyDescent="0.55000000000000004">
      <c r="A86" s="104">
        <v>82</v>
      </c>
      <c r="B86" s="104" t="s">
        <v>75</v>
      </c>
      <c r="C86" s="111" t="s">
        <v>1059</v>
      </c>
      <c r="D86" s="104" t="s">
        <v>1060</v>
      </c>
      <c r="E86" s="104" t="s">
        <v>1061</v>
      </c>
      <c r="F86" s="104" t="s">
        <v>1062</v>
      </c>
      <c r="G86" s="104" t="s">
        <v>1063</v>
      </c>
      <c r="H86" s="104" t="s">
        <v>1064</v>
      </c>
      <c r="I86" s="104" t="s">
        <v>512</v>
      </c>
      <c r="J86" s="104" t="s">
        <v>1065</v>
      </c>
      <c r="K86" s="104" t="s">
        <v>84</v>
      </c>
      <c r="L86" s="104"/>
      <c r="M86" s="104"/>
      <c r="N86" s="104"/>
      <c r="O86" s="104"/>
      <c r="P86" s="104"/>
      <c r="Q86" s="102"/>
      <c r="R86" s="104"/>
      <c r="S86" s="104" t="s">
        <v>88</v>
      </c>
      <c r="T86" s="104"/>
      <c r="U86" s="104" t="s">
        <v>1066</v>
      </c>
      <c r="V86" s="104" t="s">
        <v>88</v>
      </c>
      <c r="W86" s="104" t="s">
        <v>1067</v>
      </c>
      <c r="X86" s="104" t="s">
        <v>1068</v>
      </c>
      <c r="Y86" s="104" t="s">
        <v>93</v>
      </c>
      <c r="Z86" s="104" t="s">
        <v>1069</v>
      </c>
      <c r="AA86" s="104" t="s">
        <v>93</v>
      </c>
      <c r="AB86" s="104" t="s">
        <v>93</v>
      </c>
      <c r="AC86" s="104" t="s">
        <v>93</v>
      </c>
      <c r="AD86" s="134" t="s">
        <v>1070</v>
      </c>
      <c r="AE86"/>
      <c r="AF86" s="30" t="str" cm="1">
        <f t="array" ref="AF86">_xlfn.IFS(COUNTIF(Table14623576[[#This Row],[PBT/ vPvB]],"*X*"), 20, TRUE, "")</f>
        <v/>
      </c>
      <c r="AG86" s="30" t="str" cm="1">
        <f t="array" ref="AG86">_xlfn.IFS(COUNTIF(Table14623576[[#This Row],[Perturbateur Endocrinien]],"*X*"), 20, TRUE, "")</f>
        <v/>
      </c>
      <c r="AH86" s="30" t="str" cm="1">
        <f t="array" ref="AH86">_xlfn.IFS(COUNTIF(Table14623576[[#This Row],[Phrases H]],"*H350*"), 20, TRUE, "")</f>
        <v/>
      </c>
      <c r="AI86" s="30" t="str" cm="1">
        <f t="array" ref="AI86">_xlfn.IFS(COUNTIF(Table14623576[[#This Row],[Phrases H]],"*H360*"), 20, TRUE, "")</f>
        <v/>
      </c>
      <c r="AJ86" s="30" t="str" cm="1">
        <f t="array" ref="AJ86">_xlfn.IFS(COUNTIF(Table14623576[[#This Row],[Phrases H]],"*H340*"), 20, TRUE, "")</f>
        <v/>
      </c>
      <c r="AK86" s="30" t="str" cm="1">
        <f t="array" ref="AK86">_xlfn.IFS(COUNTIF(Table14623576[[#This Row],[Phrases H]],"*H351*"), 10, TRUE, "")</f>
        <v/>
      </c>
      <c r="AL86" s="30" t="str" cm="1">
        <f t="array" ref="AL86">_xlfn.IFS(COUNTIF(Table14623576[[#This Row],[Phrases H]],"*H361*"), 10, TRUE, "")</f>
        <v/>
      </c>
      <c r="AM86" s="30" t="str" cm="1">
        <f t="array" ref="AM86">_xlfn.IFS(COUNTIF(Table14623576[[#This Row],[Phrases H]],"*H362*"), 10, TRUE, "")</f>
        <v/>
      </c>
      <c r="AN86" s="30" t="str" cm="1">
        <f t="array" ref="AN86">_xlfn.IFS(COUNTIF(Table14623576[[#This Row],[Phrases H]],"*H341*"), 10, TRUE, "")</f>
        <v/>
      </c>
      <c r="AO86" s="30" t="str" cm="1">
        <f t="array" ref="AO86">_xlfn.IFS(COUNTIF(Table14623576[[#This Row],[Phrases H]],"*H372*"), 10, TRUE, "")</f>
        <v/>
      </c>
      <c r="AP86" s="30" t="str" cm="1">
        <f t="array" ref="AP86">_xlfn.IFS(COUNTIF(Table14623576[[#This Row],[Phrases H]],"*H410*"), 10, TRUE, "")</f>
        <v/>
      </c>
      <c r="AQ86" s="30" cm="1">
        <f t="array" ref="AQ86">_xlfn.IFS(COUNTIF(Table14623576[[#This Row],[Phrases H]],"*H373*"), 5, TRUE, "")</f>
        <v>5</v>
      </c>
      <c r="AR86" s="30" t="str" cm="1">
        <f t="array" ref="AR86">_xlfn.IFS(COUNTIF(Table14623576[[#This Row],[Phrases H]],"*H411*"), 5, TRUE, "")</f>
        <v/>
      </c>
      <c r="AS86" s="112">
        <f t="shared" si="53"/>
        <v>5</v>
      </c>
      <c r="AT86" s="113" t="s">
        <v>88</v>
      </c>
      <c r="AU86" s="113">
        <v>0</v>
      </c>
      <c r="AV86" s="114">
        <f t="shared" si="41"/>
        <v>10</v>
      </c>
      <c r="AW86" s="115" t="str">
        <f t="shared" si="60"/>
        <v>0</v>
      </c>
      <c r="AX86" s="116">
        <f t="shared" si="42"/>
        <v>5</v>
      </c>
      <c r="AY86" s="117">
        <f t="shared" si="43"/>
        <v>5.8823529411764705E-2</v>
      </c>
      <c r="AZ86" s="118" t="str">
        <f t="shared" si="54"/>
        <v>5</v>
      </c>
      <c r="BA86" s="119" t="str">
        <f t="shared" si="44"/>
        <v>5</v>
      </c>
      <c r="BB86" s="32"/>
      <c r="BC86" s="113">
        <v>1000</v>
      </c>
      <c r="BD86" s="113" t="s">
        <v>97</v>
      </c>
      <c r="BE86" s="120">
        <f t="shared" si="59"/>
        <v>15</v>
      </c>
      <c r="BF86" s="121" t="str">
        <f t="shared" si="55"/>
        <v>Production modérée</v>
      </c>
      <c r="BG86" s="122" t="str">
        <f t="shared" si="56"/>
        <v>C</v>
      </c>
      <c r="BH86" s="32"/>
      <c r="BI86" s="7"/>
      <c r="BJ86" s="5">
        <v>0</v>
      </c>
      <c r="BK86" s="7"/>
      <c r="BL86" s="131">
        <v>0</v>
      </c>
      <c r="BM86" s="132" t="s">
        <v>99</v>
      </c>
      <c r="BN86"/>
      <c r="BO86" s="60" t="str">
        <f t="shared" si="58"/>
        <v>Catégorie 5C NON</v>
      </c>
      <c r="BP86"/>
      <c r="BQ86" s="42" t="s">
        <v>88</v>
      </c>
      <c r="BR86"/>
      <c r="BS86" s="187" t="str">
        <f t="shared" si="45"/>
        <v/>
      </c>
      <c r="BT86" s="19" t="str">
        <f t="shared" si="46"/>
        <v/>
      </c>
      <c r="BU86" s="19" t="str">
        <f t="shared" si="47"/>
        <v/>
      </c>
      <c r="BV86" s="10"/>
      <c r="BW86" s="5" t="str">
        <f t="shared" si="48"/>
        <v/>
      </c>
      <c r="BX86" s="5" t="str">
        <f t="shared" si="49"/>
        <v/>
      </c>
      <c r="BY86"/>
      <c r="BZ86" s="5" t="str">
        <f t="shared" si="50"/>
        <v/>
      </c>
      <c r="CA86" s="5" t="str">
        <f t="shared" si="51"/>
        <v/>
      </c>
      <c r="CB86" s="188" t="str">
        <f t="shared" si="52"/>
        <v/>
      </c>
    </row>
    <row r="87" spans="1:80" s="27" customFormat="1" ht="30" customHeight="1" x14ac:dyDescent="0.55000000000000004">
      <c r="A87" s="104">
        <v>83</v>
      </c>
      <c r="B87" s="104" t="s">
        <v>75</v>
      </c>
      <c r="C87" s="111" t="s">
        <v>1071</v>
      </c>
      <c r="D87" s="104" t="s">
        <v>77</v>
      </c>
      <c r="E87" s="104" t="s">
        <v>1072</v>
      </c>
      <c r="F87" s="104" t="s">
        <v>1073</v>
      </c>
      <c r="G87" s="104" t="s">
        <v>1074</v>
      </c>
      <c r="H87" s="104" t="s">
        <v>1075</v>
      </c>
      <c r="I87" s="104" t="s">
        <v>512</v>
      </c>
      <c r="J87" s="104" t="s">
        <v>1076</v>
      </c>
      <c r="K87" s="104" t="s">
        <v>657</v>
      </c>
      <c r="L87" s="104"/>
      <c r="M87" s="104"/>
      <c r="N87" s="104"/>
      <c r="O87" s="104"/>
      <c r="P87" s="104" t="s">
        <v>85</v>
      </c>
      <c r="Q87" s="102"/>
      <c r="R87" s="104"/>
      <c r="S87" s="104" t="s">
        <v>88</v>
      </c>
      <c r="T87" s="104"/>
      <c r="U87" s="104" t="s">
        <v>319</v>
      </c>
      <c r="V87" s="104" t="s">
        <v>88</v>
      </c>
      <c r="W87" s="138" t="s">
        <v>1077</v>
      </c>
      <c r="X87" s="104" t="s">
        <v>1078</v>
      </c>
      <c r="Y87" s="104" t="s">
        <v>93</v>
      </c>
      <c r="Z87" s="104" t="s">
        <v>93</v>
      </c>
      <c r="AA87" s="104" t="s">
        <v>93</v>
      </c>
      <c r="AB87" s="104" t="s">
        <v>93</v>
      </c>
      <c r="AC87" s="104" t="s">
        <v>93</v>
      </c>
      <c r="AD87" s="104" t="s">
        <v>1079</v>
      </c>
      <c r="AE87"/>
      <c r="AF87" s="30" t="str" cm="1">
        <f t="array" ref="AF87">_xlfn.IFS(COUNTIF(Table14623576[[#This Row],[PBT/ vPvB]],"*X*"), 20, TRUE, "")</f>
        <v/>
      </c>
      <c r="AG87" s="30" t="str" cm="1">
        <f t="array" ref="AG87">_xlfn.IFS(COUNTIF(Table14623576[[#This Row],[Perturbateur Endocrinien]],"*X*"), 20, TRUE, "")</f>
        <v/>
      </c>
      <c r="AH87" s="30" t="str" cm="1">
        <f t="array" ref="AH87">_xlfn.IFS(COUNTIF(Table14623576[[#This Row],[Phrases H]],"*H350*"), 20, TRUE, "")</f>
        <v/>
      </c>
      <c r="AI87" s="30" t="str" cm="1">
        <f t="array" ref="AI87">_xlfn.IFS(COUNTIF(Table14623576[[#This Row],[Phrases H]],"*H360*"), 20, TRUE, "")</f>
        <v/>
      </c>
      <c r="AJ87" s="30" t="str" cm="1">
        <f t="array" ref="AJ87">_xlfn.IFS(COUNTIF(Table14623576[[#This Row],[Phrases H]],"*H340*"), 20, TRUE, "")</f>
        <v/>
      </c>
      <c r="AK87" s="30" t="str" cm="1">
        <f t="array" ref="AK87">_xlfn.IFS(COUNTIF(Table14623576[[#This Row],[Phrases H]],"*H351*"), 10, TRUE, "")</f>
        <v/>
      </c>
      <c r="AL87" s="30" t="str" cm="1">
        <f t="array" ref="AL87">_xlfn.IFS(COUNTIF(Table14623576[[#This Row],[Phrases H]],"*H361*"), 10, TRUE, "")</f>
        <v/>
      </c>
      <c r="AM87" s="30" t="str" cm="1">
        <f t="array" ref="AM87">_xlfn.IFS(COUNTIF(Table14623576[[#This Row],[Phrases H]],"*H362*"), 10, TRUE, "")</f>
        <v/>
      </c>
      <c r="AN87" s="30" t="str" cm="1">
        <f t="array" ref="AN87">_xlfn.IFS(COUNTIF(Table14623576[[#This Row],[Phrases H]],"*H341*"), 10, TRUE, "")</f>
        <v/>
      </c>
      <c r="AO87" s="30" t="str" cm="1">
        <f t="array" ref="AO87">_xlfn.IFS(COUNTIF(Table14623576[[#This Row],[Phrases H]],"*H372*"), 10, TRUE, "")</f>
        <v/>
      </c>
      <c r="AP87" s="30" t="str" cm="1">
        <f t="array" ref="AP87">_xlfn.IFS(COUNTIF(Table14623576[[#This Row],[Phrases H]],"*H410*"), 10, TRUE, "")</f>
        <v/>
      </c>
      <c r="AQ87" s="30" t="str" cm="1">
        <f t="array" ref="AQ87">_xlfn.IFS(COUNTIF(Table14623576[[#This Row],[Phrases H]],"*H373*"), 5, TRUE, "")</f>
        <v/>
      </c>
      <c r="AR87" s="30" t="str" cm="1">
        <f t="array" ref="AR87">_xlfn.IFS(COUNTIF(Table14623576[[#This Row],[Phrases H]],"*H411*"), 5, TRUE, "")</f>
        <v/>
      </c>
      <c r="AS87" s="112">
        <f t="shared" si="53"/>
        <v>0</v>
      </c>
      <c r="AT87" s="113" t="s">
        <v>88</v>
      </c>
      <c r="AU87" s="139">
        <v>745000</v>
      </c>
      <c r="AV87" s="114">
        <f t="shared" si="41"/>
        <v>50</v>
      </c>
      <c r="AW87" s="115">
        <f t="shared" si="60"/>
        <v>20</v>
      </c>
      <c r="AX87" s="116">
        <f t="shared" si="42"/>
        <v>20</v>
      </c>
      <c r="AY87" s="117">
        <f t="shared" si="43"/>
        <v>0.23529411764705882</v>
      </c>
      <c r="AZ87" s="118" t="str">
        <f t="shared" si="54"/>
        <v>4</v>
      </c>
      <c r="BA87" s="119" t="str">
        <f t="shared" si="44"/>
        <v>4</v>
      </c>
      <c r="BB87" s="32"/>
      <c r="BC87" s="113">
        <v>100000</v>
      </c>
      <c r="BD87" s="113" t="s">
        <v>97</v>
      </c>
      <c r="BE87" s="120">
        <f t="shared" si="59"/>
        <v>25</v>
      </c>
      <c r="BF87" s="121" t="str">
        <f t="shared" si="55"/>
        <v>Production très élevée</v>
      </c>
      <c r="BG87" s="122" t="str">
        <f t="shared" si="56"/>
        <v>A</v>
      </c>
      <c r="BH87" s="32"/>
      <c r="BI87" s="7"/>
      <c r="BJ87" s="5">
        <v>0</v>
      </c>
      <c r="BK87" s="7"/>
      <c r="BL87" s="131">
        <v>0</v>
      </c>
      <c r="BM87" s="132" t="s">
        <v>99</v>
      </c>
      <c r="BN87"/>
      <c r="BO87" s="60" t="str">
        <f t="shared" si="58"/>
        <v>Catégorie 4A NON</v>
      </c>
      <c r="BP87"/>
      <c r="BQ87" s="42" t="s">
        <v>88</v>
      </c>
      <c r="BR87"/>
      <c r="BS87" s="187" t="str">
        <f t="shared" si="45"/>
        <v/>
      </c>
      <c r="BT87" s="19" t="str">
        <f t="shared" si="46"/>
        <v/>
      </c>
      <c r="BU87" s="19" t="str">
        <f t="shared" si="47"/>
        <v/>
      </c>
      <c r="BV87" s="10"/>
      <c r="BW87" s="5" t="str">
        <f t="shared" si="48"/>
        <v/>
      </c>
      <c r="BX87" s="5" t="str">
        <f t="shared" si="49"/>
        <v/>
      </c>
      <c r="BY87"/>
      <c r="BZ87" s="5" t="str">
        <f t="shared" si="50"/>
        <v/>
      </c>
      <c r="CA87" s="5" t="str">
        <f t="shared" si="51"/>
        <v/>
      </c>
      <c r="CB87" s="188" t="str">
        <f t="shared" si="52"/>
        <v/>
      </c>
    </row>
    <row r="88" spans="1:80" s="27" customFormat="1" ht="30" customHeight="1" x14ac:dyDescent="0.55000000000000004">
      <c r="A88" s="104">
        <v>84</v>
      </c>
      <c r="B88" s="104" t="s">
        <v>75</v>
      </c>
      <c r="C88" s="111" t="s">
        <v>1080</v>
      </c>
      <c r="D88" s="104" t="s">
        <v>1081</v>
      </c>
      <c r="E88" s="104" t="s">
        <v>1082</v>
      </c>
      <c r="F88" s="104" t="s">
        <v>1083</v>
      </c>
      <c r="G88" s="104" t="s">
        <v>1084</v>
      </c>
      <c r="H88" s="104" t="s">
        <v>1085</v>
      </c>
      <c r="I88" s="104" t="s">
        <v>512</v>
      </c>
      <c r="J88" s="104" t="s">
        <v>733</v>
      </c>
      <c r="K88" s="104" t="s">
        <v>379</v>
      </c>
      <c r="L88" s="104"/>
      <c r="M88" s="104"/>
      <c r="N88" s="104"/>
      <c r="O88" s="104"/>
      <c r="P88" s="104"/>
      <c r="Q88" s="102"/>
      <c r="R88" s="104"/>
      <c r="S88" s="104" t="s">
        <v>88</v>
      </c>
      <c r="T88" s="104"/>
      <c r="U88" s="104" t="s">
        <v>980</v>
      </c>
      <c r="V88" s="104" t="s">
        <v>122</v>
      </c>
      <c r="W88" s="104" t="s">
        <v>1086</v>
      </c>
      <c r="X88" s="104" t="s">
        <v>88</v>
      </c>
      <c r="Y88" s="104" t="s">
        <v>88</v>
      </c>
      <c r="Z88" s="104" t="s">
        <v>88</v>
      </c>
      <c r="AA88" s="104" t="s">
        <v>88</v>
      </c>
      <c r="AB88" s="104" t="s">
        <v>88</v>
      </c>
      <c r="AC88" s="104" t="s">
        <v>88</v>
      </c>
      <c r="AD88" s="104" t="s">
        <v>88</v>
      </c>
      <c r="AE88"/>
      <c r="AF88" s="30" t="str" cm="1">
        <f t="array" ref="AF88">_xlfn.IFS(COUNTIF(Table14623576[[#This Row],[PBT/ vPvB]],"*X*"), 20, TRUE, "")</f>
        <v/>
      </c>
      <c r="AG88" s="30" t="str" cm="1">
        <f t="array" ref="AG88">_xlfn.IFS(COUNTIF(Table14623576[[#This Row],[Perturbateur Endocrinien]],"*X*"), 20, TRUE, "")</f>
        <v/>
      </c>
      <c r="AH88" s="30" t="str" cm="1">
        <f t="array" ref="AH88">_xlfn.IFS(COUNTIF(Table14623576[[#This Row],[Phrases H]],"*H350*"), 20, TRUE, "")</f>
        <v/>
      </c>
      <c r="AI88" s="30" t="str" cm="1">
        <f t="array" ref="AI88">_xlfn.IFS(COUNTIF(Table14623576[[#This Row],[Phrases H]],"*H360*"), 20, TRUE, "")</f>
        <v/>
      </c>
      <c r="AJ88" s="30" t="str" cm="1">
        <f t="array" ref="AJ88">_xlfn.IFS(COUNTIF(Table14623576[[#This Row],[Phrases H]],"*H340*"), 20, TRUE, "")</f>
        <v/>
      </c>
      <c r="AK88" s="30" t="str" cm="1">
        <f t="array" ref="AK88">_xlfn.IFS(COUNTIF(Table14623576[[#This Row],[Phrases H]],"*H351*"), 10, TRUE, "")</f>
        <v/>
      </c>
      <c r="AL88" s="30" cm="1">
        <f t="array" ref="AL88">_xlfn.IFS(COUNTIF(Table14623576[[#This Row],[Phrases H]],"*H361*"), 10, TRUE, "")</f>
        <v>10</v>
      </c>
      <c r="AM88" s="30" t="str" cm="1">
        <f t="array" ref="AM88">_xlfn.IFS(COUNTIF(Table14623576[[#This Row],[Phrases H]],"*H362*"), 10, TRUE, "")</f>
        <v/>
      </c>
      <c r="AN88" s="30" t="str" cm="1">
        <f t="array" ref="AN88">_xlfn.IFS(COUNTIF(Table14623576[[#This Row],[Phrases H]],"*H341*"), 10, TRUE, "")</f>
        <v/>
      </c>
      <c r="AO88" s="30" t="str" cm="1">
        <f t="array" ref="AO88">_xlfn.IFS(COUNTIF(Table14623576[[#This Row],[Phrases H]],"*H372*"), 10, TRUE, "")</f>
        <v/>
      </c>
      <c r="AP88" s="30" t="str" cm="1">
        <f t="array" ref="AP88">_xlfn.IFS(COUNTIF(Table14623576[[#This Row],[Phrases H]],"*H410*"), 10, TRUE, "")</f>
        <v/>
      </c>
      <c r="AQ88" s="30" t="str" cm="1">
        <f t="array" ref="AQ88">_xlfn.IFS(COUNTIF(Table14623576[[#This Row],[Phrases H]],"*H373*"), 5, TRUE, "")</f>
        <v/>
      </c>
      <c r="AR88" s="30" t="str" cm="1">
        <f t="array" ref="AR88">_xlfn.IFS(COUNTIF(Table14623576[[#This Row],[Phrases H]],"*H411*"), 5, TRUE, "")</f>
        <v/>
      </c>
      <c r="AS88" s="112">
        <f t="shared" si="53"/>
        <v>10</v>
      </c>
      <c r="AT88" s="113" t="s">
        <v>88</v>
      </c>
      <c r="AU88" s="113">
        <v>38900</v>
      </c>
      <c r="AV88" s="114">
        <f t="shared" si="41"/>
        <v>40</v>
      </c>
      <c r="AW88" s="115">
        <f t="shared" si="60"/>
        <v>10</v>
      </c>
      <c r="AX88" s="116">
        <f t="shared" si="42"/>
        <v>20</v>
      </c>
      <c r="AY88" s="117">
        <f t="shared" si="43"/>
        <v>0.23529411764705882</v>
      </c>
      <c r="AZ88" s="118" t="str">
        <f t="shared" si="54"/>
        <v>4</v>
      </c>
      <c r="BA88" s="119" t="str">
        <f t="shared" si="44"/>
        <v>4</v>
      </c>
      <c r="BB88" s="32"/>
      <c r="BC88" s="113">
        <v>100</v>
      </c>
      <c r="BD88" s="113" t="s">
        <v>97</v>
      </c>
      <c r="BE88" s="120">
        <f t="shared" si="59"/>
        <v>10</v>
      </c>
      <c r="BF88" s="121" t="str">
        <f t="shared" si="55"/>
        <v>Faible production</v>
      </c>
      <c r="BG88" s="122" t="str">
        <f t="shared" si="56"/>
        <v>D</v>
      </c>
      <c r="BH88" s="32"/>
      <c r="BI88" s="7"/>
      <c r="BJ88" s="5">
        <v>0</v>
      </c>
      <c r="BK88" s="7"/>
      <c r="BL88" s="131">
        <v>0</v>
      </c>
      <c r="BM88" s="132" t="s">
        <v>99</v>
      </c>
      <c r="BN88"/>
      <c r="BO88" s="60" t="str">
        <f t="shared" si="58"/>
        <v>Catégorie 4D NON</v>
      </c>
      <c r="BP88"/>
      <c r="BQ88" s="42" t="s">
        <v>88</v>
      </c>
      <c r="BR88"/>
      <c r="BS88" s="187" t="str">
        <f t="shared" si="45"/>
        <v/>
      </c>
      <c r="BT88" s="19" t="str">
        <f t="shared" si="46"/>
        <v/>
      </c>
      <c r="BU88" s="19" t="str">
        <f t="shared" si="47"/>
        <v/>
      </c>
      <c r="BV88" s="10"/>
      <c r="BW88" s="5" t="str">
        <f t="shared" si="48"/>
        <v>X</v>
      </c>
      <c r="BX88" s="5" t="str">
        <f t="shared" si="49"/>
        <v/>
      </c>
      <c r="BY88"/>
      <c r="BZ88" s="5" t="str">
        <f t="shared" si="50"/>
        <v/>
      </c>
      <c r="CA88" s="5" t="str">
        <f t="shared" si="51"/>
        <v/>
      </c>
      <c r="CB88" s="188" t="str">
        <f t="shared" si="52"/>
        <v/>
      </c>
    </row>
    <row r="89" spans="1:80" s="27" customFormat="1" ht="30" customHeight="1" x14ac:dyDescent="0.55000000000000004">
      <c r="A89" s="104">
        <v>85</v>
      </c>
      <c r="B89" s="104" t="s">
        <v>75</v>
      </c>
      <c r="C89" s="111" t="s">
        <v>1087</v>
      </c>
      <c r="D89" s="104" t="s">
        <v>1088</v>
      </c>
      <c r="E89" s="104" t="s">
        <v>1089</v>
      </c>
      <c r="F89" s="104" t="s">
        <v>1090</v>
      </c>
      <c r="G89" s="104" t="s">
        <v>88</v>
      </c>
      <c r="H89" s="104" t="s">
        <v>88</v>
      </c>
      <c r="I89" s="104" t="s">
        <v>512</v>
      </c>
      <c r="J89" s="104" t="s">
        <v>733</v>
      </c>
      <c r="K89" s="104" t="s">
        <v>84</v>
      </c>
      <c r="L89" s="104"/>
      <c r="M89" s="104"/>
      <c r="N89" s="104"/>
      <c r="O89" s="104"/>
      <c r="P89" s="104"/>
      <c r="Q89" s="102"/>
      <c r="R89" s="104"/>
      <c r="S89" s="104" t="s">
        <v>88</v>
      </c>
      <c r="T89" s="104"/>
      <c r="U89" s="104" t="s">
        <v>980</v>
      </c>
      <c r="V89" s="104" t="s">
        <v>88</v>
      </c>
      <c r="W89" s="104" t="s">
        <v>1091</v>
      </c>
      <c r="X89" s="104" t="s">
        <v>88</v>
      </c>
      <c r="Y89" s="104" t="s">
        <v>88</v>
      </c>
      <c r="Z89" s="104" t="s">
        <v>88</v>
      </c>
      <c r="AA89" s="104" t="s">
        <v>88</v>
      </c>
      <c r="AB89" s="104" t="s">
        <v>88</v>
      </c>
      <c r="AC89" s="104" t="s">
        <v>88</v>
      </c>
      <c r="AD89" s="104" t="s">
        <v>88</v>
      </c>
      <c r="AE89"/>
      <c r="AF89" s="30" t="str" cm="1">
        <f t="array" ref="AF89">_xlfn.IFS(COUNTIF(Table14623576[[#This Row],[PBT/ vPvB]],"*X*"), 20, TRUE, "")</f>
        <v/>
      </c>
      <c r="AG89" s="30" t="str" cm="1">
        <f t="array" ref="AG89">_xlfn.IFS(COUNTIF(Table14623576[[#This Row],[Perturbateur Endocrinien]],"*X*"), 20, TRUE, "")</f>
        <v/>
      </c>
      <c r="AH89" s="30" t="str" cm="1">
        <f t="array" ref="AH89">_xlfn.IFS(COUNTIF(Table14623576[[#This Row],[Phrases H]],"*H350*"), 20, TRUE, "")</f>
        <v/>
      </c>
      <c r="AI89" s="30" t="str" cm="1">
        <f t="array" ref="AI89">_xlfn.IFS(COUNTIF(Table14623576[[#This Row],[Phrases H]],"*H360*"), 20, TRUE, "")</f>
        <v/>
      </c>
      <c r="AJ89" s="30" t="str" cm="1">
        <f t="array" ref="AJ89">_xlfn.IFS(COUNTIF(Table14623576[[#This Row],[Phrases H]],"*H340*"), 20, TRUE, "")</f>
        <v/>
      </c>
      <c r="AK89" s="30" t="str" cm="1">
        <f t="array" ref="AK89">_xlfn.IFS(COUNTIF(Table14623576[[#This Row],[Phrases H]],"*H351*"), 10, TRUE, "")</f>
        <v/>
      </c>
      <c r="AL89" s="30" cm="1">
        <f t="array" ref="AL89">_xlfn.IFS(COUNTIF(Table14623576[[#This Row],[Phrases H]],"*H361*"), 10, TRUE, "")</f>
        <v>10</v>
      </c>
      <c r="AM89" s="30" t="str" cm="1">
        <f t="array" ref="AM89">_xlfn.IFS(COUNTIF(Table14623576[[#This Row],[Phrases H]],"*H362*"), 10, TRUE, "")</f>
        <v/>
      </c>
      <c r="AN89" s="30" t="str" cm="1">
        <f t="array" ref="AN89">_xlfn.IFS(COUNTIF(Table14623576[[#This Row],[Phrases H]],"*H341*"), 10, TRUE, "")</f>
        <v/>
      </c>
      <c r="AO89" s="30" t="str" cm="1">
        <f t="array" ref="AO89">_xlfn.IFS(COUNTIF(Table14623576[[#This Row],[Phrases H]],"*H372*"), 10, TRUE, "")</f>
        <v/>
      </c>
      <c r="AP89" s="30" t="str" cm="1">
        <f t="array" ref="AP89">_xlfn.IFS(COUNTIF(Table14623576[[#This Row],[Phrases H]],"*H410*"), 10, TRUE, "")</f>
        <v/>
      </c>
      <c r="AQ89" s="30" t="str" cm="1">
        <f t="array" ref="AQ89">_xlfn.IFS(COUNTIF(Table14623576[[#This Row],[Phrases H]],"*H373*"), 5, TRUE, "")</f>
        <v/>
      </c>
      <c r="AR89" s="30" t="str" cm="1">
        <f t="array" ref="AR89">_xlfn.IFS(COUNTIF(Table14623576[[#This Row],[Phrases H]],"*H411*"), 5, TRUE, "")</f>
        <v/>
      </c>
      <c r="AS89" s="112">
        <f t="shared" si="53"/>
        <v>10</v>
      </c>
      <c r="AT89" s="113" t="s">
        <v>88</v>
      </c>
      <c r="AU89" s="113">
        <v>70.7</v>
      </c>
      <c r="AV89" s="114">
        <f t="shared" si="41"/>
        <v>30</v>
      </c>
      <c r="AW89" s="115">
        <f t="shared" si="60"/>
        <v>10</v>
      </c>
      <c r="AX89" s="116">
        <f t="shared" si="42"/>
        <v>20</v>
      </c>
      <c r="AY89" s="117">
        <f t="shared" si="43"/>
        <v>0.23529411764705882</v>
      </c>
      <c r="AZ89" s="118" t="str">
        <f t="shared" si="54"/>
        <v>4</v>
      </c>
      <c r="BA89" s="119" t="str">
        <f t="shared" si="44"/>
        <v>4</v>
      </c>
      <c r="BB89" s="32"/>
      <c r="BC89" s="113">
        <v>1000</v>
      </c>
      <c r="BD89" s="113" t="s">
        <v>97</v>
      </c>
      <c r="BE89" s="120">
        <f t="shared" si="59"/>
        <v>15</v>
      </c>
      <c r="BF89" s="121" t="str">
        <f t="shared" si="55"/>
        <v>Production modérée</v>
      </c>
      <c r="BG89" s="122" t="str">
        <f t="shared" si="56"/>
        <v>C</v>
      </c>
      <c r="BH89" s="32"/>
      <c r="BI89" s="7"/>
      <c r="BJ89" s="5">
        <v>0</v>
      </c>
      <c r="BK89" s="7"/>
      <c r="BL89" s="131">
        <v>0</v>
      </c>
      <c r="BM89" s="132" t="s">
        <v>99</v>
      </c>
      <c r="BN89"/>
      <c r="BO89" s="60" t="str">
        <f t="shared" si="58"/>
        <v>Catégorie 4C NON</v>
      </c>
      <c r="BP89"/>
      <c r="BQ89" s="42" t="s">
        <v>88</v>
      </c>
      <c r="BR89"/>
      <c r="BS89" s="187" t="str">
        <f t="shared" si="45"/>
        <v/>
      </c>
      <c r="BT89" s="19" t="str">
        <f t="shared" si="46"/>
        <v/>
      </c>
      <c r="BU89" s="19" t="str">
        <f t="shared" si="47"/>
        <v/>
      </c>
      <c r="BV89" s="10"/>
      <c r="BW89" s="5" t="str">
        <f t="shared" si="48"/>
        <v/>
      </c>
      <c r="BX89" s="5" t="str">
        <f t="shared" si="49"/>
        <v/>
      </c>
      <c r="BY89"/>
      <c r="BZ89" s="5" t="str">
        <f t="shared" si="50"/>
        <v/>
      </c>
      <c r="CA89" s="5" t="str">
        <f t="shared" si="51"/>
        <v/>
      </c>
      <c r="CB89" s="188" t="str">
        <f t="shared" si="52"/>
        <v/>
      </c>
    </row>
    <row r="90" spans="1:80" s="27" customFormat="1" ht="30" customHeight="1" x14ac:dyDescent="0.55000000000000004">
      <c r="A90" s="104">
        <v>86</v>
      </c>
      <c r="B90" s="104" t="s">
        <v>75</v>
      </c>
      <c r="C90" s="111" t="s">
        <v>1092</v>
      </c>
      <c r="D90" s="104" t="s">
        <v>1093</v>
      </c>
      <c r="E90" s="104" t="s">
        <v>1094</v>
      </c>
      <c r="F90" s="104" t="s">
        <v>1095</v>
      </c>
      <c r="G90" s="104" t="s">
        <v>1096</v>
      </c>
      <c r="H90" s="104" t="s">
        <v>1097</v>
      </c>
      <c r="I90" s="104" t="s">
        <v>512</v>
      </c>
      <c r="J90" s="104" t="s">
        <v>733</v>
      </c>
      <c r="K90" s="104" t="s">
        <v>84</v>
      </c>
      <c r="L90" s="104"/>
      <c r="M90" s="104"/>
      <c r="N90" s="104"/>
      <c r="O90" s="104"/>
      <c r="P90" s="104"/>
      <c r="Q90" s="102"/>
      <c r="R90" s="104"/>
      <c r="S90" s="104" t="s">
        <v>88</v>
      </c>
      <c r="T90" s="104"/>
      <c r="U90" s="104" t="s">
        <v>59</v>
      </c>
      <c r="V90" s="104" t="s">
        <v>122</v>
      </c>
      <c r="W90" s="104" t="s">
        <v>1098</v>
      </c>
      <c r="X90" s="104" t="s">
        <v>88</v>
      </c>
      <c r="Y90" s="104" t="s">
        <v>88</v>
      </c>
      <c r="Z90" s="104" t="s">
        <v>88</v>
      </c>
      <c r="AA90" s="104" t="s">
        <v>88</v>
      </c>
      <c r="AB90" s="104" t="s">
        <v>88</v>
      </c>
      <c r="AC90" s="104" t="s">
        <v>88</v>
      </c>
      <c r="AD90" s="104" t="s">
        <v>88</v>
      </c>
      <c r="AE90"/>
      <c r="AF90" s="30" t="str" cm="1">
        <f t="array" ref="AF90">_xlfn.IFS(COUNTIF(Table14623576[[#This Row],[PBT/ vPvB]],"*X*"), 20, TRUE, "")</f>
        <v/>
      </c>
      <c r="AG90" s="30" t="str" cm="1">
        <f t="array" ref="AG90">_xlfn.IFS(COUNTIF(Table14623576[[#This Row],[Perturbateur Endocrinien]],"*X*"), 20, TRUE, "")</f>
        <v/>
      </c>
      <c r="AH90" s="30" t="str" cm="1">
        <f t="array" ref="AH90">_xlfn.IFS(COUNTIF(Table14623576[[#This Row],[Phrases H]],"*H350*"), 20, TRUE, "")</f>
        <v/>
      </c>
      <c r="AI90" s="30" t="str" cm="1">
        <f t="array" ref="AI90">_xlfn.IFS(COUNTIF(Table14623576[[#This Row],[Phrases H]],"*H360*"), 20, TRUE, "")</f>
        <v/>
      </c>
      <c r="AJ90" s="30" t="str" cm="1">
        <f t="array" ref="AJ90">_xlfn.IFS(COUNTIF(Table14623576[[#This Row],[Phrases H]],"*H340*"), 20, TRUE, "")</f>
        <v/>
      </c>
      <c r="AK90" s="30" t="str" cm="1">
        <f t="array" ref="AK90">_xlfn.IFS(COUNTIF(Table14623576[[#This Row],[Phrases H]],"*H351*"), 10, TRUE, "")</f>
        <v/>
      </c>
      <c r="AL90" s="30" cm="1">
        <f t="array" ref="AL90">_xlfn.IFS(COUNTIF(Table14623576[[#This Row],[Phrases H]],"*H361*"), 10, TRUE, "")</f>
        <v>10</v>
      </c>
      <c r="AM90" s="30" t="str" cm="1">
        <f t="array" ref="AM90">_xlfn.IFS(COUNTIF(Table14623576[[#This Row],[Phrases H]],"*H362*"), 10, TRUE, "")</f>
        <v/>
      </c>
      <c r="AN90" s="30" t="str" cm="1">
        <f t="array" ref="AN90">_xlfn.IFS(COUNTIF(Table14623576[[#This Row],[Phrases H]],"*H341*"), 10, TRUE, "")</f>
        <v/>
      </c>
      <c r="AO90" s="30" t="str" cm="1">
        <f t="array" ref="AO90">_xlfn.IFS(COUNTIF(Table14623576[[#This Row],[Phrases H]],"*H372*"), 10, TRUE, "")</f>
        <v/>
      </c>
      <c r="AP90" s="30" t="str" cm="1">
        <f t="array" ref="AP90">_xlfn.IFS(COUNTIF(Table14623576[[#This Row],[Phrases H]],"*H410*"), 10, TRUE, "")</f>
        <v/>
      </c>
      <c r="AQ90" s="30" t="str" cm="1">
        <f t="array" ref="AQ90">_xlfn.IFS(COUNTIF(Table14623576[[#This Row],[Phrases H]],"*H373*"), 5, TRUE, "")</f>
        <v/>
      </c>
      <c r="AR90" s="30" t="str" cm="1">
        <f t="array" ref="AR90">_xlfn.IFS(COUNTIF(Table14623576[[#This Row],[Phrases H]],"*H411*"), 5, TRUE, "")</f>
        <v/>
      </c>
      <c r="AS90" s="112">
        <f t="shared" si="53"/>
        <v>10</v>
      </c>
      <c r="AT90" s="113" t="s">
        <v>88</v>
      </c>
      <c r="AU90" s="113">
        <v>22100</v>
      </c>
      <c r="AV90" s="114">
        <f t="shared" si="41"/>
        <v>40</v>
      </c>
      <c r="AW90" s="115">
        <f t="shared" si="60"/>
        <v>10</v>
      </c>
      <c r="AX90" s="116">
        <f t="shared" si="42"/>
        <v>20</v>
      </c>
      <c r="AY90" s="117">
        <f t="shared" si="43"/>
        <v>0.23529411764705882</v>
      </c>
      <c r="AZ90" s="118" t="str">
        <f t="shared" si="54"/>
        <v>4</v>
      </c>
      <c r="BA90" s="119" t="str">
        <f t="shared" si="44"/>
        <v>4</v>
      </c>
      <c r="BB90" s="32"/>
      <c r="BC90" s="113">
        <v>1000</v>
      </c>
      <c r="BD90" s="113" t="s">
        <v>97</v>
      </c>
      <c r="BE90" s="120">
        <f t="shared" si="59"/>
        <v>15</v>
      </c>
      <c r="BF90" s="121" t="str">
        <f t="shared" si="55"/>
        <v>Production modérée</v>
      </c>
      <c r="BG90" s="122" t="str">
        <f t="shared" si="56"/>
        <v>C</v>
      </c>
      <c r="BH90" s="32"/>
      <c r="BI90" s="7"/>
      <c r="BJ90" s="5">
        <v>0</v>
      </c>
      <c r="BK90" s="7"/>
      <c r="BL90" s="131">
        <v>0</v>
      </c>
      <c r="BM90" s="132" t="s">
        <v>99</v>
      </c>
      <c r="BN90"/>
      <c r="BO90" s="60" t="str">
        <f t="shared" si="58"/>
        <v>Catégorie 4C NON</v>
      </c>
      <c r="BP90"/>
      <c r="BQ90" s="42" t="s">
        <v>88</v>
      </c>
      <c r="BR90"/>
      <c r="BS90" s="187" t="str">
        <f t="shared" si="45"/>
        <v/>
      </c>
      <c r="BT90" s="19" t="str">
        <f t="shared" si="46"/>
        <v/>
      </c>
      <c r="BU90" s="19" t="str">
        <f t="shared" si="47"/>
        <v/>
      </c>
      <c r="BV90" s="10"/>
      <c r="BW90" s="5" t="str">
        <f t="shared" si="48"/>
        <v/>
      </c>
      <c r="BX90" s="5" t="str">
        <f t="shared" si="49"/>
        <v/>
      </c>
      <c r="BY90"/>
      <c r="BZ90" s="5" t="str">
        <f t="shared" si="50"/>
        <v/>
      </c>
      <c r="CA90" s="5" t="str">
        <f t="shared" si="51"/>
        <v/>
      </c>
      <c r="CB90" s="188" t="str">
        <f t="shared" si="52"/>
        <v/>
      </c>
    </row>
    <row r="91" spans="1:80" s="27" customFormat="1" ht="30" customHeight="1" x14ac:dyDescent="0.55000000000000004">
      <c r="A91" s="104">
        <v>87</v>
      </c>
      <c r="B91" s="104" t="s">
        <v>75</v>
      </c>
      <c r="C91" s="111" t="s">
        <v>1099</v>
      </c>
      <c r="D91" s="104" t="s">
        <v>1100</v>
      </c>
      <c r="E91" s="104" t="s">
        <v>1101</v>
      </c>
      <c r="F91" s="104" t="s">
        <v>1102</v>
      </c>
      <c r="G91" s="104" t="s">
        <v>1103</v>
      </c>
      <c r="H91" s="104" t="s">
        <v>1104</v>
      </c>
      <c r="I91" s="104" t="s">
        <v>512</v>
      </c>
      <c r="J91" s="104" t="s">
        <v>733</v>
      </c>
      <c r="K91" s="104" t="s">
        <v>292</v>
      </c>
      <c r="L91" s="104"/>
      <c r="M91" s="104"/>
      <c r="N91" s="104"/>
      <c r="O91" s="104" t="s">
        <v>85</v>
      </c>
      <c r="P91" s="104"/>
      <c r="Q91" s="102"/>
      <c r="R91" s="104"/>
      <c r="S91" s="104" t="s">
        <v>88</v>
      </c>
      <c r="T91" s="104"/>
      <c r="U91" s="104" t="s">
        <v>1105</v>
      </c>
      <c r="V91" s="104" t="s">
        <v>122</v>
      </c>
      <c r="W91" s="104" t="s">
        <v>1106</v>
      </c>
      <c r="X91" s="104" t="s">
        <v>110</v>
      </c>
      <c r="Y91" s="104" t="s">
        <v>93</v>
      </c>
      <c r="Z91" s="104" t="s">
        <v>93</v>
      </c>
      <c r="AA91" s="104" t="s">
        <v>93</v>
      </c>
      <c r="AB91" s="104" t="s">
        <v>93</v>
      </c>
      <c r="AC91" s="104" t="s">
        <v>93</v>
      </c>
      <c r="AD91" s="104" t="s">
        <v>88</v>
      </c>
      <c r="AE91"/>
      <c r="AF91" s="30" t="str" cm="1">
        <f t="array" ref="AF91">_xlfn.IFS(COUNTIF(Table14623576[[#This Row],[PBT/ vPvB]],"*X*"), 20, TRUE, "")</f>
        <v/>
      </c>
      <c r="AG91" s="30" t="str" cm="1">
        <f t="array" ref="AG91">_xlfn.IFS(COUNTIF(Table14623576[[#This Row],[Perturbateur Endocrinien]],"*X*"), 20, TRUE, "")</f>
        <v/>
      </c>
      <c r="AH91" s="30" t="str" cm="1">
        <f t="array" ref="AH91">_xlfn.IFS(COUNTIF(Table14623576[[#This Row],[Phrases H]],"*H350*"), 20, TRUE, "")</f>
        <v/>
      </c>
      <c r="AI91" s="30" cm="1">
        <f t="array" ref="AI91">_xlfn.IFS(COUNTIF(Table14623576[[#This Row],[Phrases H]],"*H360*"), 20, TRUE, "")</f>
        <v>20</v>
      </c>
      <c r="AJ91" s="30" t="str" cm="1">
        <f t="array" ref="AJ91">_xlfn.IFS(COUNTIF(Table14623576[[#This Row],[Phrases H]],"*H340*"), 20, TRUE, "")</f>
        <v/>
      </c>
      <c r="AK91" s="30" t="str" cm="1">
        <f t="array" ref="AK91">_xlfn.IFS(COUNTIF(Table14623576[[#This Row],[Phrases H]],"*H351*"), 10, TRUE, "")</f>
        <v/>
      </c>
      <c r="AL91" s="30" t="str" cm="1">
        <f t="array" ref="AL91">_xlfn.IFS(COUNTIF(Table14623576[[#This Row],[Phrases H]],"*H361*"), 10, TRUE, "")</f>
        <v/>
      </c>
      <c r="AM91" s="30" t="str" cm="1">
        <f t="array" ref="AM91">_xlfn.IFS(COUNTIF(Table14623576[[#This Row],[Phrases H]],"*H362*"), 10, TRUE, "")</f>
        <v/>
      </c>
      <c r="AN91" s="30" t="str" cm="1">
        <f t="array" ref="AN91">_xlfn.IFS(COUNTIF(Table14623576[[#This Row],[Phrases H]],"*H341*"), 10, TRUE, "")</f>
        <v/>
      </c>
      <c r="AO91" s="30" t="str" cm="1">
        <f t="array" ref="AO91">_xlfn.IFS(COUNTIF(Table14623576[[#This Row],[Phrases H]],"*H372*"), 10, TRUE, "")</f>
        <v/>
      </c>
      <c r="AP91" s="30" t="str" cm="1">
        <f t="array" ref="AP91">_xlfn.IFS(COUNTIF(Table14623576[[#This Row],[Phrases H]],"*H410*"), 10, TRUE, "")</f>
        <v/>
      </c>
      <c r="AQ91" s="30" t="str" cm="1">
        <f t="array" ref="AQ91">_xlfn.IFS(COUNTIF(Table14623576[[#This Row],[Phrases H]],"*H373*"), 5, TRUE, "")</f>
        <v/>
      </c>
      <c r="AR91" s="30" t="str" cm="1">
        <f t="array" ref="AR91">_xlfn.IFS(COUNTIF(Table14623576[[#This Row],[Phrases H]],"*H411*"), 5, TRUE, "")</f>
        <v/>
      </c>
      <c r="AS91" s="112">
        <f t="shared" si="53"/>
        <v>20</v>
      </c>
      <c r="AT91" s="113" t="s">
        <v>88</v>
      </c>
      <c r="AU91" s="113">
        <v>223650</v>
      </c>
      <c r="AV91" s="114">
        <f t="shared" si="41"/>
        <v>50</v>
      </c>
      <c r="AW91" s="115">
        <f t="shared" si="60"/>
        <v>20</v>
      </c>
      <c r="AX91" s="116">
        <f t="shared" si="42"/>
        <v>40</v>
      </c>
      <c r="AY91" s="117">
        <f t="shared" si="43"/>
        <v>0.47058823529411764</v>
      </c>
      <c r="AZ91" s="118" t="str">
        <f t="shared" si="54"/>
        <v>3</v>
      </c>
      <c r="BA91" s="119" t="str">
        <f t="shared" si="44"/>
        <v>3</v>
      </c>
      <c r="BB91" s="32"/>
      <c r="BC91" s="113">
        <v>10000</v>
      </c>
      <c r="BD91" s="113" t="s">
        <v>97</v>
      </c>
      <c r="BE91" s="120">
        <f t="shared" si="59"/>
        <v>20</v>
      </c>
      <c r="BF91" s="121" t="str">
        <f t="shared" si="55"/>
        <v>Production élevée</v>
      </c>
      <c r="BG91" s="122" t="str">
        <f t="shared" si="56"/>
        <v>B</v>
      </c>
      <c r="BH91" s="32"/>
      <c r="BI91" s="7"/>
      <c r="BJ91" s="5">
        <v>0</v>
      </c>
      <c r="BK91" s="7"/>
      <c r="BL91" s="131">
        <v>0</v>
      </c>
      <c r="BM91" s="132" t="s">
        <v>99</v>
      </c>
      <c r="BN91"/>
      <c r="BO91" s="60" t="str">
        <f t="shared" si="58"/>
        <v>Catégorie 3B NON</v>
      </c>
      <c r="BP91"/>
      <c r="BQ91" s="42" t="s">
        <v>88</v>
      </c>
      <c r="BR91"/>
      <c r="BS91" s="187" t="str">
        <f t="shared" si="45"/>
        <v>X</v>
      </c>
      <c r="BT91" s="19" t="str">
        <f t="shared" si="46"/>
        <v/>
      </c>
      <c r="BU91" s="19" t="str">
        <f t="shared" si="47"/>
        <v/>
      </c>
      <c r="BV91" s="10"/>
      <c r="BW91" s="5" t="str">
        <f t="shared" si="48"/>
        <v/>
      </c>
      <c r="BX91" s="5" t="str">
        <f t="shared" si="49"/>
        <v/>
      </c>
      <c r="BY91"/>
      <c r="BZ91" s="5" t="str">
        <f t="shared" si="50"/>
        <v>X</v>
      </c>
      <c r="CA91" s="5" t="str">
        <f t="shared" si="51"/>
        <v/>
      </c>
      <c r="CB91" s="188" t="str">
        <f t="shared" si="52"/>
        <v/>
      </c>
    </row>
    <row r="92" spans="1:80" s="27" customFormat="1" ht="30" customHeight="1" x14ac:dyDescent="0.55000000000000004">
      <c r="A92" s="104">
        <v>88</v>
      </c>
      <c r="B92" s="104" t="s">
        <v>75</v>
      </c>
      <c r="C92" s="111" t="s">
        <v>1107</v>
      </c>
      <c r="D92" s="104" t="s">
        <v>1108</v>
      </c>
      <c r="E92" s="104" t="s">
        <v>1109</v>
      </c>
      <c r="F92" s="104" t="s">
        <v>1110</v>
      </c>
      <c r="G92" s="104" t="s">
        <v>88</v>
      </c>
      <c r="H92" s="104" t="s">
        <v>88</v>
      </c>
      <c r="I92" s="104" t="s">
        <v>512</v>
      </c>
      <c r="J92" s="104" t="s">
        <v>961</v>
      </c>
      <c r="K92" s="104" t="s">
        <v>84</v>
      </c>
      <c r="L92" s="104"/>
      <c r="M92" s="104"/>
      <c r="N92" s="104"/>
      <c r="O92" s="104" t="s">
        <v>85</v>
      </c>
      <c r="P92" s="104"/>
      <c r="Q92" s="102"/>
      <c r="R92" s="104"/>
      <c r="S92" s="104" t="s">
        <v>88</v>
      </c>
      <c r="T92" s="104"/>
      <c r="U92" s="104" t="s">
        <v>108</v>
      </c>
      <c r="V92" s="104" t="s">
        <v>88</v>
      </c>
      <c r="W92" s="104" t="s">
        <v>1111</v>
      </c>
      <c r="X92" s="104" t="s">
        <v>88</v>
      </c>
      <c r="Y92" s="104" t="s">
        <v>88</v>
      </c>
      <c r="Z92" s="104" t="s">
        <v>88</v>
      </c>
      <c r="AA92" s="104" t="s">
        <v>88</v>
      </c>
      <c r="AB92" s="104" t="s">
        <v>88</v>
      </c>
      <c r="AC92" s="104" t="s">
        <v>88</v>
      </c>
      <c r="AD92" s="104" t="s">
        <v>88</v>
      </c>
      <c r="AE92"/>
      <c r="AF92" s="30" t="str" cm="1">
        <f t="array" ref="AF92">_xlfn.IFS(COUNTIF(Table14623576[[#This Row],[PBT/ vPvB]],"*X*"), 20, TRUE, "")</f>
        <v/>
      </c>
      <c r="AG92" s="30" t="str" cm="1">
        <f t="array" ref="AG92">_xlfn.IFS(COUNTIF(Table14623576[[#This Row],[Perturbateur Endocrinien]],"*X*"), 20, TRUE, "")</f>
        <v/>
      </c>
      <c r="AH92" s="30" t="str" cm="1">
        <f t="array" ref="AH92">_xlfn.IFS(COUNTIF(Table14623576[[#This Row],[Phrases H]],"*H350*"), 20, TRUE, "")</f>
        <v/>
      </c>
      <c r="AI92" s="30" t="str" cm="1">
        <f t="array" ref="AI92">_xlfn.IFS(COUNTIF(Table14623576[[#This Row],[Phrases H]],"*H360*"), 20, TRUE, "")</f>
        <v/>
      </c>
      <c r="AJ92" s="30" t="str" cm="1">
        <f t="array" ref="AJ92">_xlfn.IFS(COUNTIF(Table14623576[[#This Row],[Phrases H]],"*H340*"), 20, TRUE, "")</f>
        <v/>
      </c>
      <c r="AK92" s="30" t="str" cm="1">
        <f t="array" ref="AK92">_xlfn.IFS(COUNTIF(Table14623576[[#This Row],[Phrases H]],"*H351*"), 10, TRUE, "")</f>
        <v/>
      </c>
      <c r="AL92" s="30" t="str" cm="1">
        <f t="array" ref="AL92">_xlfn.IFS(COUNTIF(Table14623576[[#This Row],[Phrases H]],"*H361*"), 10, TRUE, "")</f>
        <v/>
      </c>
      <c r="AM92" s="30" t="str" cm="1">
        <f t="array" ref="AM92">_xlfn.IFS(COUNTIF(Table14623576[[#This Row],[Phrases H]],"*H362*"), 10, TRUE, "")</f>
        <v/>
      </c>
      <c r="AN92" s="30" t="str" cm="1">
        <f t="array" ref="AN92">_xlfn.IFS(COUNTIF(Table14623576[[#This Row],[Phrases H]],"*H341*"), 10, TRUE, "")</f>
        <v/>
      </c>
      <c r="AO92" s="30" t="str" cm="1">
        <f t="array" ref="AO92">_xlfn.IFS(COUNTIF(Table14623576[[#This Row],[Phrases H]],"*H372*"), 10, TRUE, "")</f>
        <v/>
      </c>
      <c r="AP92" s="30" t="str" cm="1">
        <f t="array" ref="AP92">_xlfn.IFS(COUNTIF(Table14623576[[#This Row],[Phrases H]],"*H410*"), 10, TRUE, "")</f>
        <v/>
      </c>
      <c r="AQ92" s="30" t="str" cm="1">
        <f t="array" ref="AQ92">_xlfn.IFS(COUNTIF(Table14623576[[#This Row],[Phrases H]],"*H373*"), 5, TRUE, "")</f>
        <v/>
      </c>
      <c r="AR92" s="30" t="str" cm="1">
        <f t="array" ref="AR92">_xlfn.IFS(COUNTIF(Table14623576[[#This Row],[Phrases H]],"*H411*"), 5, TRUE, "")</f>
        <v/>
      </c>
      <c r="AS92" s="112">
        <f t="shared" si="53"/>
        <v>0</v>
      </c>
      <c r="AT92" s="113" t="s">
        <v>88</v>
      </c>
      <c r="AU92" s="113">
        <v>206500</v>
      </c>
      <c r="AV92" s="114">
        <f t="shared" si="41"/>
        <v>50</v>
      </c>
      <c r="AW92" s="115">
        <f t="shared" si="60"/>
        <v>20</v>
      </c>
      <c r="AX92" s="116">
        <f t="shared" si="42"/>
        <v>20</v>
      </c>
      <c r="AY92" s="117">
        <f t="shared" si="43"/>
        <v>0.23529411764705882</v>
      </c>
      <c r="AZ92" s="118" t="str">
        <f t="shared" si="54"/>
        <v>4</v>
      </c>
      <c r="BA92" s="119" t="str">
        <f t="shared" si="44"/>
        <v>4</v>
      </c>
      <c r="BB92" s="32"/>
      <c r="BC92" s="113">
        <v>1000</v>
      </c>
      <c r="BD92" s="113" t="s">
        <v>97</v>
      </c>
      <c r="BE92" s="120">
        <f t="shared" si="59"/>
        <v>15</v>
      </c>
      <c r="BF92" s="121" t="str">
        <f t="shared" si="55"/>
        <v>Production modérée</v>
      </c>
      <c r="BG92" s="122" t="str">
        <f t="shared" si="56"/>
        <v>C</v>
      </c>
      <c r="BH92" s="32"/>
      <c r="BI92" s="7"/>
      <c r="BJ92" s="5">
        <v>0</v>
      </c>
      <c r="BK92" s="7"/>
      <c r="BL92" s="131">
        <v>0</v>
      </c>
      <c r="BM92" s="132" t="s">
        <v>99</v>
      </c>
      <c r="BN92"/>
      <c r="BO92" s="60" t="str">
        <f t="shared" si="58"/>
        <v>Catégorie 4C NON</v>
      </c>
      <c r="BP92"/>
      <c r="BQ92" s="42" t="s">
        <v>88</v>
      </c>
      <c r="BR92"/>
      <c r="BS92" s="187" t="str">
        <f t="shared" si="45"/>
        <v/>
      </c>
      <c r="BT92" s="19" t="str">
        <f t="shared" si="46"/>
        <v/>
      </c>
      <c r="BU92" s="19" t="str">
        <f t="shared" si="47"/>
        <v/>
      </c>
      <c r="BV92" s="10"/>
      <c r="BW92" s="5" t="str">
        <f t="shared" si="48"/>
        <v/>
      </c>
      <c r="BX92" s="5" t="str">
        <f t="shared" si="49"/>
        <v/>
      </c>
      <c r="BY92"/>
      <c r="BZ92" s="5" t="str">
        <f t="shared" si="50"/>
        <v/>
      </c>
      <c r="CA92" s="5" t="str">
        <f t="shared" si="51"/>
        <v/>
      </c>
      <c r="CB92" s="188" t="str">
        <f t="shared" si="52"/>
        <v/>
      </c>
    </row>
    <row r="93" spans="1:80" s="27" customFormat="1" ht="46" customHeight="1" x14ac:dyDescent="0.55000000000000004">
      <c r="A93" s="104">
        <v>89</v>
      </c>
      <c r="B93" s="104" t="s">
        <v>75</v>
      </c>
      <c r="C93" s="111" t="s">
        <v>1112</v>
      </c>
      <c r="D93" s="104" t="s">
        <v>77</v>
      </c>
      <c r="E93" s="104" t="s">
        <v>1113</v>
      </c>
      <c r="F93" s="104" t="s">
        <v>1114</v>
      </c>
      <c r="G93" s="104" t="s">
        <v>1115</v>
      </c>
      <c r="H93" s="104" t="s">
        <v>1116</v>
      </c>
      <c r="I93" s="104" t="s">
        <v>512</v>
      </c>
      <c r="J93" s="104" t="s">
        <v>1117</v>
      </c>
      <c r="K93" s="104" t="s">
        <v>292</v>
      </c>
      <c r="L93" s="104"/>
      <c r="M93" s="104"/>
      <c r="N93" s="104"/>
      <c r="O93" s="104"/>
      <c r="P93" s="104"/>
      <c r="Q93" s="102"/>
      <c r="R93" s="104"/>
      <c r="S93" s="104" t="s">
        <v>88</v>
      </c>
      <c r="T93" s="104"/>
      <c r="U93" s="104" t="s">
        <v>1118</v>
      </c>
      <c r="V93" s="104" t="s">
        <v>122</v>
      </c>
      <c r="W93" s="104" t="s">
        <v>1119</v>
      </c>
      <c r="X93" s="104" t="s">
        <v>110</v>
      </c>
      <c r="Y93" s="104" t="s">
        <v>1120</v>
      </c>
      <c r="Z93" s="104" t="s">
        <v>1121</v>
      </c>
      <c r="AA93" s="104">
        <v>25</v>
      </c>
      <c r="AB93" s="104" t="s">
        <v>93</v>
      </c>
      <c r="AC93" s="104" t="s">
        <v>93</v>
      </c>
      <c r="AD93" s="104" t="s">
        <v>88</v>
      </c>
      <c r="AE93"/>
      <c r="AF93" s="30" t="str" cm="1">
        <f t="array" ref="AF93">_xlfn.IFS(COUNTIF(Table14623576[[#This Row],[PBT/ vPvB]],"*X*"), 20, TRUE, "")</f>
        <v/>
      </c>
      <c r="AG93" s="30" t="str" cm="1">
        <f t="array" ref="AG93">_xlfn.IFS(COUNTIF(Table14623576[[#This Row],[Perturbateur Endocrinien]],"*X*"), 20, TRUE, "")</f>
        <v/>
      </c>
      <c r="AH93" s="30" t="str" cm="1">
        <f t="array" ref="AH93">_xlfn.IFS(COUNTIF(Table14623576[[#This Row],[Phrases H]],"*H350*"), 20, TRUE, "")</f>
        <v/>
      </c>
      <c r="AI93" s="30" t="str" cm="1">
        <f t="array" ref="AI93">_xlfn.IFS(COUNTIF(Table14623576[[#This Row],[Phrases H]],"*H360*"), 20, TRUE, "")</f>
        <v/>
      </c>
      <c r="AJ93" s="30" t="str" cm="1">
        <f t="array" ref="AJ93">_xlfn.IFS(COUNTIF(Table14623576[[#This Row],[Phrases H]],"*H340*"), 20, TRUE, "")</f>
        <v/>
      </c>
      <c r="AK93" s="30" t="str" cm="1">
        <f t="array" ref="AK93">_xlfn.IFS(COUNTIF(Table14623576[[#This Row],[Phrases H]],"*H351*"), 10, TRUE, "")</f>
        <v/>
      </c>
      <c r="AL93" s="30" cm="1">
        <f t="array" ref="AL93">_xlfn.IFS(COUNTIF(Table14623576[[#This Row],[Phrases H]],"*H361*"), 10, TRUE, "")</f>
        <v>10</v>
      </c>
      <c r="AM93" s="30" t="str" cm="1">
        <f t="array" ref="AM93">_xlfn.IFS(COUNTIF(Table14623576[[#This Row],[Phrases H]],"*H362*"), 10, TRUE, "")</f>
        <v/>
      </c>
      <c r="AN93" s="30" t="str" cm="1">
        <f t="array" ref="AN93">_xlfn.IFS(COUNTIF(Table14623576[[#This Row],[Phrases H]],"*H341*"), 10, TRUE, "")</f>
        <v/>
      </c>
      <c r="AO93" s="30" t="str" cm="1">
        <f t="array" ref="AO93">_xlfn.IFS(COUNTIF(Table14623576[[#This Row],[Phrases H]],"*H372*"), 10, TRUE, "")</f>
        <v/>
      </c>
      <c r="AP93" s="30" t="str" cm="1">
        <f t="array" ref="AP93">_xlfn.IFS(COUNTIF(Table14623576[[#This Row],[Phrases H]],"*H410*"), 10, TRUE, "")</f>
        <v/>
      </c>
      <c r="AQ93" s="30" cm="1">
        <f t="array" ref="AQ93">_xlfn.IFS(COUNTIF(Table14623576[[#This Row],[Phrases H]],"*H373*"), 5, TRUE, "")</f>
        <v>5</v>
      </c>
      <c r="AR93" s="30" t="str" cm="1">
        <f t="array" ref="AR93">_xlfn.IFS(COUNTIF(Table14623576[[#This Row],[Phrases H]],"*H411*"), 5, TRUE, "")</f>
        <v/>
      </c>
      <c r="AS93" s="112">
        <f t="shared" si="53"/>
        <v>15</v>
      </c>
      <c r="AT93" s="113" t="s">
        <v>88</v>
      </c>
      <c r="AU93" s="113">
        <v>10000</v>
      </c>
      <c r="AV93" s="114">
        <f t="shared" si="41"/>
        <v>40</v>
      </c>
      <c r="AW93" s="115">
        <f t="shared" si="60"/>
        <v>10</v>
      </c>
      <c r="AX93" s="116">
        <f t="shared" si="42"/>
        <v>25</v>
      </c>
      <c r="AY93" s="117">
        <f t="shared" si="43"/>
        <v>0.29411764705882354</v>
      </c>
      <c r="AZ93" s="118" t="str">
        <f t="shared" si="54"/>
        <v>4</v>
      </c>
      <c r="BA93" s="119" t="str">
        <f t="shared" si="44"/>
        <v>4</v>
      </c>
      <c r="BB93" s="32"/>
      <c r="BC93" s="113">
        <v>10000</v>
      </c>
      <c r="BD93" s="113" t="s">
        <v>97</v>
      </c>
      <c r="BE93" s="120">
        <f t="shared" si="59"/>
        <v>20</v>
      </c>
      <c r="BF93" s="121" t="str">
        <f t="shared" si="55"/>
        <v>Production élevée</v>
      </c>
      <c r="BG93" s="122" t="str">
        <f t="shared" si="56"/>
        <v>B</v>
      </c>
      <c r="BH93" s="32"/>
      <c r="BI93" s="7"/>
      <c r="BJ93" s="5">
        <v>0</v>
      </c>
      <c r="BK93" s="7"/>
      <c r="BL93" s="131">
        <v>0</v>
      </c>
      <c r="BM93" s="132" t="s">
        <v>99</v>
      </c>
      <c r="BN93"/>
      <c r="BO93" s="60" t="str">
        <f t="shared" si="58"/>
        <v>Catégorie 4B NON</v>
      </c>
      <c r="BP93"/>
      <c r="BQ93" s="42" t="s">
        <v>88</v>
      </c>
      <c r="BR93"/>
      <c r="BS93" s="187" t="str">
        <f t="shared" si="45"/>
        <v/>
      </c>
      <c r="BT93" s="19" t="str">
        <f t="shared" si="46"/>
        <v/>
      </c>
      <c r="BU93" s="19" t="str">
        <f t="shared" si="47"/>
        <v/>
      </c>
      <c r="BV93" s="10"/>
      <c r="BW93" s="5" t="str">
        <f t="shared" si="48"/>
        <v/>
      </c>
      <c r="BX93" s="5" t="str">
        <f t="shared" si="49"/>
        <v/>
      </c>
      <c r="BY93"/>
      <c r="BZ93" s="5" t="str">
        <f t="shared" si="50"/>
        <v/>
      </c>
      <c r="CA93" s="5" t="str">
        <f t="shared" si="51"/>
        <v/>
      </c>
      <c r="CB93" s="188" t="str">
        <f t="shared" si="52"/>
        <v/>
      </c>
    </row>
    <row r="94" spans="1:80" s="27" customFormat="1" ht="30" customHeight="1" x14ac:dyDescent="0.55000000000000004">
      <c r="A94" s="104">
        <v>90</v>
      </c>
      <c r="B94" s="104" t="s">
        <v>75</v>
      </c>
      <c r="C94" s="111" t="s">
        <v>1122</v>
      </c>
      <c r="D94" s="104" t="s">
        <v>1123</v>
      </c>
      <c r="E94" s="104" t="s">
        <v>1124</v>
      </c>
      <c r="F94" s="104" t="s">
        <v>1125</v>
      </c>
      <c r="G94" s="104" t="s">
        <v>88</v>
      </c>
      <c r="H94" s="104" t="s">
        <v>88</v>
      </c>
      <c r="I94" s="104" t="s">
        <v>512</v>
      </c>
      <c r="J94" s="104" t="s">
        <v>961</v>
      </c>
      <c r="K94" s="104" t="s">
        <v>379</v>
      </c>
      <c r="L94" s="104"/>
      <c r="M94" s="104"/>
      <c r="N94" s="104"/>
      <c r="O94" s="104" t="s">
        <v>85</v>
      </c>
      <c r="P94" s="104"/>
      <c r="Q94" s="102"/>
      <c r="R94" s="104"/>
      <c r="S94" s="104" t="s">
        <v>88</v>
      </c>
      <c r="T94" s="104"/>
      <c r="U94" s="104" t="s">
        <v>108</v>
      </c>
      <c r="V94" s="104" t="s">
        <v>88</v>
      </c>
      <c r="W94" s="104" t="s">
        <v>963</v>
      </c>
      <c r="X94" s="104" t="s">
        <v>88</v>
      </c>
      <c r="Y94" s="104" t="s">
        <v>88</v>
      </c>
      <c r="Z94" s="104" t="s">
        <v>88</v>
      </c>
      <c r="AA94" s="104" t="s">
        <v>88</v>
      </c>
      <c r="AB94" s="104" t="s">
        <v>88</v>
      </c>
      <c r="AC94" s="104" t="s">
        <v>88</v>
      </c>
      <c r="AD94" s="104" t="s">
        <v>88</v>
      </c>
      <c r="AE94"/>
      <c r="AF94" s="30" t="str" cm="1">
        <f t="array" ref="AF94">_xlfn.IFS(COUNTIF(Table14623576[[#This Row],[PBT/ vPvB]],"*X*"), 20, TRUE, "")</f>
        <v/>
      </c>
      <c r="AG94" s="30" t="str" cm="1">
        <f t="array" ref="AG94">_xlfn.IFS(COUNTIF(Table14623576[[#This Row],[Perturbateur Endocrinien]],"*X*"), 20, TRUE, "")</f>
        <v/>
      </c>
      <c r="AH94" s="30" t="str" cm="1">
        <f t="array" ref="AH94">_xlfn.IFS(COUNTIF(Table14623576[[#This Row],[Phrases H]],"*H350*"), 20, TRUE, "")</f>
        <v/>
      </c>
      <c r="AI94" s="30" t="str" cm="1">
        <f t="array" ref="AI94">_xlfn.IFS(COUNTIF(Table14623576[[#This Row],[Phrases H]],"*H360*"), 20, TRUE, "")</f>
        <v/>
      </c>
      <c r="AJ94" s="30" t="str" cm="1">
        <f t="array" ref="AJ94">_xlfn.IFS(COUNTIF(Table14623576[[#This Row],[Phrases H]],"*H340*"), 20, TRUE, "")</f>
        <v/>
      </c>
      <c r="AK94" s="30" t="str" cm="1">
        <f t="array" ref="AK94">_xlfn.IFS(COUNTIF(Table14623576[[#This Row],[Phrases H]],"*H351*"), 10, TRUE, "")</f>
        <v/>
      </c>
      <c r="AL94" s="30" t="str" cm="1">
        <f t="array" ref="AL94">_xlfn.IFS(COUNTIF(Table14623576[[#This Row],[Phrases H]],"*H361*"), 10, TRUE, "")</f>
        <v/>
      </c>
      <c r="AM94" s="30" t="str" cm="1">
        <f t="array" ref="AM94">_xlfn.IFS(COUNTIF(Table14623576[[#This Row],[Phrases H]],"*H362*"), 10, TRUE, "")</f>
        <v/>
      </c>
      <c r="AN94" s="30" t="str" cm="1">
        <f t="array" ref="AN94">_xlfn.IFS(COUNTIF(Table14623576[[#This Row],[Phrases H]],"*H341*"), 10, TRUE, "")</f>
        <v/>
      </c>
      <c r="AO94" s="30" t="str" cm="1">
        <f t="array" ref="AO94">_xlfn.IFS(COUNTIF(Table14623576[[#This Row],[Phrases H]],"*H372*"), 10, TRUE, "")</f>
        <v/>
      </c>
      <c r="AP94" s="30" t="str" cm="1">
        <f t="array" ref="AP94">_xlfn.IFS(COUNTIF(Table14623576[[#This Row],[Phrases H]],"*H410*"), 10, TRUE, "")</f>
        <v/>
      </c>
      <c r="AQ94" s="30" t="str" cm="1">
        <f t="array" ref="AQ94">_xlfn.IFS(COUNTIF(Table14623576[[#This Row],[Phrases H]],"*H373*"), 5, TRUE, "")</f>
        <v/>
      </c>
      <c r="AR94" s="30" t="str" cm="1">
        <f t="array" ref="AR94">_xlfn.IFS(COUNTIF(Table14623576[[#This Row],[Phrases H]],"*H411*"), 5, TRUE, "")</f>
        <v/>
      </c>
      <c r="AS94" s="112">
        <f t="shared" si="53"/>
        <v>0</v>
      </c>
      <c r="AT94" s="113" t="s">
        <v>88</v>
      </c>
      <c r="AU94" s="113">
        <v>1000</v>
      </c>
      <c r="AV94" s="114">
        <f t="shared" si="41"/>
        <v>40</v>
      </c>
      <c r="AW94" s="115">
        <f t="shared" si="60"/>
        <v>10</v>
      </c>
      <c r="AX94" s="116">
        <f t="shared" si="42"/>
        <v>10</v>
      </c>
      <c r="AY94" s="117">
        <f t="shared" si="43"/>
        <v>0.11764705882352941</v>
      </c>
      <c r="AZ94" s="118" t="str">
        <f t="shared" si="54"/>
        <v>5</v>
      </c>
      <c r="BA94" s="119" t="str">
        <f t="shared" si="44"/>
        <v>5</v>
      </c>
      <c r="BB94" s="32"/>
      <c r="BC94" s="113">
        <v>100</v>
      </c>
      <c r="BD94" s="113" t="s">
        <v>97</v>
      </c>
      <c r="BE94" s="120">
        <f t="shared" si="59"/>
        <v>10</v>
      </c>
      <c r="BF94" s="121" t="str">
        <f t="shared" si="55"/>
        <v>Faible production</v>
      </c>
      <c r="BG94" s="122" t="str">
        <f t="shared" si="56"/>
        <v>D</v>
      </c>
      <c r="BH94" s="32"/>
      <c r="BI94" s="7"/>
      <c r="BJ94" s="5">
        <v>0</v>
      </c>
      <c r="BK94" s="7"/>
      <c r="BL94" s="131">
        <v>0</v>
      </c>
      <c r="BM94" s="132" t="s">
        <v>99</v>
      </c>
      <c r="BN94"/>
      <c r="BO94" s="60" t="str">
        <f t="shared" si="58"/>
        <v>Catégorie 5D NON</v>
      </c>
      <c r="BP94"/>
      <c r="BQ94" s="42" t="s">
        <v>88</v>
      </c>
      <c r="BR94"/>
      <c r="BS94" s="187" t="str">
        <f t="shared" si="45"/>
        <v/>
      </c>
      <c r="BT94" s="19" t="str">
        <f t="shared" si="46"/>
        <v/>
      </c>
      <c r="BU94" s="19" t="str">
        <f t="shared" si="47"/>
        <v/>
      </c>
      <c r="BV94" s="10"/>
      <c r="BW94" s="5" t="str">
        <f t="shared" si="48"/>
        <v>X</v>
      </c>
      <c r="BX94" s="5" t="str">
        <f t="shared" si="49"/>
        <v/>
      </c>
      <c r="BY94"/>
      <c r="BZ94" s="5" t="str">
        <f t="shared" si="50"/>
        <v/>
      </c>
      <c r="CA94" s="5" t="str">
        <f t="shared" si="51"/>
        <v/>
      </c>
      <c r="CB94" s="188" t="str">
        <f t="shared" si="52"/>
        <v/>
      </c>
    </row>
    <row r="95" spans="1:80" s="27" customFormat="1" ht="30" customHeight="1" x14ac:dyDescent="0.55000000000000004">
      <c r="A95" s="104">
        <v>91</v>
      </c>
      <c r="B95" s="104" t="s">
        <v>75</v>
      </c>
      <c r="C95" s="111" t="s">
        <v>1126</v>
      </c>
      <c r="D95" s="104" t="s">
        <v>77</v>
      </c>
      <c r="E95" s="104" t="s">
        <v>1072</v>
      </c>
      <c r="F95" s="104" t="s">
        <v>1127</v>
      </c>
      <c r="G95" s="104" t="s">
        <v>1128</v>
      </c>
      <c r="H95" s="104" t="s">
        <v>1129</v>
      </c>
      <c r="I95" s="104" t="s">
        <v>512</v>
      </c>
      <c r="J95" s="104" t="s">
        <v>1076</v>
      </c>
      <c r="K95" s="104" t="s">
        <v>644</v>
      </c>
      <c r="L95" s="104"/>
      <c r="M95" s="104"/>
      <c r="N95" s="104"/>
      <c r="O95" s="104"/>
      <c r="P95" s="104" t="s">
        <v>85</v>
      </c>
      <c r="Q95" s="102"/>
      <c r="R95" s="104"/>
      <c r="S95" s="104" t="s">
        <v>88</v>
      </c>
      <c r="T95" s="104"/>
      <c r="U95" s="104" t="s">
        <v>445</v>
      </c>
      <c r="V95" s="104" t="s">
        <v>88</v>
      </c>
      <c r="W95" s="104" t="s">
        <v>1130</v>
      </c>
      <c r="X95" s="104" t="s">
        <v>1131</v>
      </c>
      <c r="Y95" s="104" t="s">
        <v>93</v>
      </c>
      <c r="Z95" s="104" t="s">
        <v>93</v>
      </c>
      <c r="AA95" s="104" t="s">
        <v>93</v>
      </c>
      <c r="AB95" s="104" t="s">
        <v>93</v>
      </c>
      <c r="AC95" s="104" t="s">
        <v>93</v>
      </c>
      <c r="AD95" s="104" t="s">
        <v>1132</v>
      </c>
      <c r="AE95"/>
      <c r="AF95" s="30" t="str" cm="1">
        <f t="array" ref="AF95">_xlfn.IFS(COUNTIF(Table14623576[[#This Row],[PBT/ vPvB]],"*X*"), 20, TRUE, "")</f>
        <v/>
      </c>
      <c r="AG95" s="30" t="str" cm="1">
        <f t="array" ref="AG95">_xlfn.IFS(COUNTIF(Table14623576[[#This Row],[Perturbateur Endocrinien]],"*X*"), 20, TRUE, "")</f>
        <v/>
      </c>
      <c r="AH95" s="30" t="str" cm="1">
        <f t="array" ref="AH95">_xlfn.IFS(COUNTIF(Table14623576[[#This Row],[Phrases H]],"*H350*"), 20, TRUE, "")</f>
        <v/>
      </c>
      <c r="AI95" s="30" t="str" cm="1">
        <f t="array" ref="AI95">_xlfn.IFS(COUNTIF(Table14623576[[#This Row],[Phrases H]],"*H360*"), 20, TRUE, "")</f>
        <v/>
      </c>
      <c r="AJ95" s="30" t="str" cm="1">
        <f t="array" ref="AJ95">_xlfn.IFS(COUNTIF(Table14623576[[#This Row],[Phrases H]],"*H340*"), 20, TRUE, "")</f>
        <v/>
      </c>
      <c r="AK95" s="30" t="str" cm="1">
        <f t="array" ref="AK95">_xlfn.IFS(COUNTIF(Table14623576[[#This Row],[Phrases H]],"*H351*"), 10, TRUE, "")</f>
        <v/>
      </c>
      <c r="AL95" s="30" t="str" cm="1">
        <f t="array" ref="AL95">_xlfn.IFS(COUNTIF(Table14623576[[#This Row],[Phrases H]],"*H361*"), 10, TRUE, "")</f>
        <v/>
      </c>
      <c r="AM95" s="30" t="str" cm="1">
        <f t="array" ref="AM95">_xlfn.IFS(COUNTIF(Table14623576[[#This Row],[Phrases H]],"*H362*"), 10, TRUE, "")</f>
        <v/>
      </c>
      <c r="AN95" s="30" t="str" cm="1">
        <f t="array" ref="AN95">_xlfn.IFS(COUNTIF(Table14623576[[#This Row],[Phrases H]],"*H341*"), 10, TRUE, "")</f>
        <v/>
      </c>
      <c r="AO95" s="30" t="str" cm="1">
        <f t="array" ref="AO95">_xlfn.IFS(COUNTIF(Table14623576[[#This Row],[Phrases H]],"*H372*"), 10, TRUE, "")</f>
        <v/>
      </c>
      <c r="AP95" s="30" t="str" cm="1">
        <f t="array" ref="AP95">_xlfn.IFS(COUNTIF(Table14623576[[#This Row],[Phrases H]],"*H410*"), 10, TRUE, "")</f>
        <v/>
      </c>
      <c r="AQ95" s="30" t="str" cm="1">
        <f t="array" ref="AQ95">_xlfn.IFS(COUNTIF(Table14623576[[#This Row],[Phrases H]],"*H373*"), 5, TRUE, "")</f>
        <v/>
      </c>
      <c r="AR95" s="30" t="str" cm="1">
        <f t="array" ref="AR95">_xlfn.IFS(COUNTIF(Table14623576[[#This Row],[Phrases H]],"*H411*"), 5, TRUE, "")</f>
        <v/>
      </c>
      <c r="AS95" s="112">
        <f t="shared" si="53"/>
        <v>0</v>
      </c>
      <c r="AT95" s="113" t="s">
        <v>88</v>
      </c>
      <c r="AU95" s="113">
        <f>AVERAGE(283000,372000)</f>
        <v>327500</v>
      </c>
      <c r="AV95" s="114">
        <f t="shared" si="41"/>
        <v>50</v>
      </c>
      <c r="AW95" s="115">
        <f t="shared" si="60"/>
        <v>20</v>
      </c>
      <c r="AX95" s="116">
        <f t="shared" si="42"/>
        <v>20</v>
      </c>
      <c r="AY95" s="117">
        <f t="shared" si="43"/>
        <v>0.23529411764705882</v>
      </c>
      <c r="AZ95" s="118" t="str">
        <f t="shared" si="54"/>
        <v>4</v>
      </c>
      <c r="BA95" s="119" t="str">
        <f t="shared" si="44"/>
        <v>4</v>
      </c>
      <c r="BB95" s="32"/>
      <c r="BC95" s="113">
        <v>1000000</v>
      </c>
      <c r="BD95" s="113" t="s">
        <v>97</v>
      </c>
      <c r="BE95" s="120">
        <f t="shared" si="59"/>
        <v>25</v>
      </c>
      <c r="BF95" s="121" t="str">
        <f t="shared" si="55"/>
        <v>Production très élevée</v>
      </c>
      <c r="BG95" s="122" t="str">
        <f t="shared" si="56"/>
        <v>A</v>
      </c>
      <c r="BH95" s="32"/>
      <c r="BI95" s="7"/>
      <c r="BJ95" s="5">
        <v>0</v>
      </c>
      <c r="BK95" s="7"/>
      <c r="BL95" s="131">
        <v>0</v>
      </c>
      <c r="BM95" s="132" t="s">
        <v>99</v>
      </c>
      <c r="BN95"/>
      <c r="BO95" s="60" t="str">
        <f t="shared" si="58"/>
        <v>Catégorie 4A NON</v>
      </c>
      <c r="BP95"/>
      <c r="BQ95" s="42" t="s">
        <v>88</v>
      </c>
      <c r="BR95"/>
      <c r="BS95" s="187" t="str">
        <f t="shared" si="45"/>
        <v/>
      </c>
      <c r="BT95" s="19" t="str">
        <f t="shared" si="46"/>
        <v/>
      </c>
      <c r="BU95" s="19" t="str">
        <f t="shared" si="47"/>
        <v/>
      </c>
      <c r="BV95" s="10"/>
      <c r="BW95" s="5" t="str">
        <f t="shared" si="48"/>
        <v/>
      </c>
      <c r="BX95" s="5" t="str">
        <f t="shared" si="49"/>
        <v/>
      </c>
      <c r="BY95"/>
      <c r="BZ95" s="5" t="str">
        <f t="shared" si="50"/>
        <v/>
      </c>
      <c r="CA95" s="5" t="str">
        <f t="shared" si="51"/>
        <v/>
      </c>
      <c r="CB95" s="188" t="str">
        <f t="shared" si="52"/>
        <v/>
      </c>
    </row>
    <row r="96" spans="1:80" s="27" customFormat="1" ht="30" customHeight="1" x14ac:dyDescent="0.55000000000000004">
      <c r="A96" s="104">
        <v>92</v>
      </c>
      <c r="B96" s="104" t="s">
        <v>75</v>
      </c>
      <c r="C96" s="111" t="s">
        <v>1133</v>
      </c>
      <c r="D96" s="104" t="s">
        <v>1134</v>
      </c>
      <c r="E96" s="104" t="s">
        <v>1135</v>
      </c>
      <c r="F96" s="104" t="s">
        <v>1136</v>
      </c>
      <c r="G96" s="104" t="s">
        <v>1137</v>
      </c>
      <c r="H96" s="104" t="s">
        <v>1138</v>
      </c>
      <c r="I96" s="104" t="s">
        <v>512</v>
      </c>
      <c r="J96" s="104" t="s">
        <v>733</v>
      </c>
      <c r="K96" s="104" t="s">
        <v>1139</v>
      </c>
      <c r="L96" s="104"/>
      <c r="M96" s="104"/>
      <c r="N96" s="104"/>
      <c r="O96" s="104"/>
      <c r="P96" s="104"/>
      <c r="Q96" s="102"/>
      <c r="R96" s="104"/>
      <c r="S96" s="104" t="s">
        <v>88</v>
      </c>
      <c r="T96" s="104"/>
      <c r="U96" s="104" t="s">
        <v>1140</v>
      </c>
      <c r="V96" s="104" t="s">
        <v>88</v>
      </c>
      <c r="W96" s="104" t="s">
        <v>764</v>
      </c>
      <c r="X96" s="104" t="s">
        <v>88</v>
      </c>
      <c r="Y96" s="104" t="s">
        <v>88</v>
      </c>
      <c r="Z96" s="104" t="s">
        <v>88</v>
      </c>
      <c r="AA96" s="104" t="s">
        <v>88</v>
      </c>
      <c r="AB96" s="104" t="s">
        <v>88</v>
      </c>
      <c r="AC96" s="104" t="s">
        <v>88</v>
      </c>
      <c r="AD96" s="104" t="s">
        <v>88</v>
      </c>
      <c r="AE96"/>
      <c r="AF96" s="30" t="str" cm="1">
        <f t="array" ref="AF96">_xlfn.IFS(COUNTIF(Table14623576[[#This Row],[PBT/ vPvB]],"*X*"), 20, TRUE, "")</f>
        <v/>
      </c>
      <c r="AG96" s="30" t="str" cm="1">
        <f t="array" ref="AG96">_xlfn.IFS(COUNTIF(Table14623576[[#This Row],[Perturbateur Endocrinien]],"*X*"), 20, TRUE, "")</f>
        <v/>
      </c>
      <c r="AH96" s="30" t="str" cm="1">
        <f t="array" ref="AH96">_xlfn.IFS(COUNTIF(Table14623576[[#This Row],[Phrases H]],"*H350*"), 20, TRUE, "")</f>
        <v/>
      </c>
      <c r="AI96" s="30" cm="1">
        <f t="array" ref="AI96">_xlfn.IFS(COUNTIF(Table14623576[[#This Row],[Phrases H]],"*H360*"), 20, TRUE, "")</f>
        <v>20</v>
      </c>
      <c r="AJ96" s="30" t="str" cm="1">
        <f t="array" ref="AJ96">_xlfn.IFS(COUNTIF(Table14623576[[#This Row],[Phrases H]],"*H340*"), 20, TRUE, "")</f>
        <v/>
      </c>
      <c r="AK96" s="30" t="str" cm="1">
        <f t="array" ref="AK96">_xlfn.IFS(COUNTIF(Table14623576[[#This Row],[Phrases H]],"*H351*"), 10, TRUE, "")</f>
        <v/>
      </c>
      <c r="AL96" s="30" t="str" cm="1">
        <f t="array" ref="AL96">_xlfn.IFS(COUNTIF(Table14623576[[#This Row],[Phrases H]],"*H361*"), 10, TRUE, "")</f>
        <v/>
      </c>
      <c r="AM96" s="30" t="str" cm="1">
        <f t="array" ref="AM96">_xlfn.IFS(COUNTIF(Table14623576[[#This Row],[Phrases H]],"*H362*"), 10, TRUE, "")</f>
        <v/>
      </c>
      <c r="AN96" s="30" t="str" cm="1">
        <f t="array" ref="AN96">_xlfn.IFS(COUNTIF(Table14623576[[#This Row],[Phrases H]],"*H341*"), 10, TRUE, "")</f>
        <v/>
      </c>
      <c r="AO96" s="30" t="str" cm="1">
        <f t="array" ref="AO96">_xlfn.IFS(COUNTIF(Table14623576[[#This Row],[Phrases H]],"*H372*"), 10, TRUE, "")</f>
        <v/>
      </c>
      <c r="AP96" s="30" t="str" cm="1">
        <f t="array" ref="AP96">_xlfn.IFS(COUNTIF(Table14623576[[#This Row],[Phrases H]],"*H410*"), 10, TRUE, "")</f>
        <v/>
      </c>
      <c r="AQ96" s="30" t="str" cm="1">
        <f t="array" ref="AQ96">_xlfn.IFS(COUNTIF(Table14623576[[#This Row],[Phrases H]],"*H373*"), 5, TRUE, "")</f>
        <v/>
      </c>
      <c r="AR96" s="30" t="str" cm="1">
        <f t="array" ref="AR96">_xlfn.IFS(COUNTIF(Table14623576[[#This Row],[Phrases H]],"*H411*"), 5, TRUE, "")</f>
        <v/>
      </c>
      <c r="AS96" s="112">
        <f t="shared" si="53"/>
        <v>20</v>
      </c>
      <c r="AT96" s="113" t="s">
        <v>88</v>
      </c>
      <c r="AU96" s="113">
        <v>48800</v>
      </c>
      <c r="AV96" s="114">
        <f t="shared" si="41"/>
        <v>40</v>
      </c>
      <c r="AW96" s="115">
        <f t="shared" si="60"/>
        <v>10</v>
      </c>
      <c r="AX96" s="116">
        <f t="shared" si="42"/>
        <v>30</v>
      </c>
      <c r="AY96" s="117">
        <f t="shared" si="43"/>
        <v>0.35294117647058826</v>
      </c>
      <c r="AZ96" s="118" t="str">
        <f t="shared" si="54"/>
        <v>4</v>
      </c>
      <c r="BA96" s="119" t="str">
        <f t="shared" si="44"/>
        <v>4</v>
      </c>
      <c r="BB96" s="32"/>
      <c r="BC96" s="113" t="s">
        <v>88</v>
      </c>
      <c r="BD96" s="113" t="s">
        <v>97</v>
      </c>
      <c r="BE96" s="120">
        <f t="shared" si="59"/>
        <v>0</v>
      </c>
      <c r="BF96" s="121" t="str">
        <f t="shared" si="55"/>
        <v>N/A</v>
      </c>
      <c r="BG96" s="122" t="str">
        <f t="shared" si="56"/>
        <v>E</v>
      </c>
      <c r="BH96" s="32"/>
      <c r="BI96" s="7"/>
      <c r="BJ96" s="5">
        <v>0</v>
      </c>
      <c r="BK96" s="7"/>
      <c r="BL96" s="131">
        <v>0</v>
      </c>
      <c r="BM96" s="132" t="s">
        <v>99</v>
      </c>
      <c r="BN96"/>
      <c r="BO96" s="60" t="str">
        <f t="shared" si="58"/>
        <v>Catégorie 4E NON</v>
      </c>
      <c r="BP96"/>
      <c r="BQ96" s="42" t="s">
        <v>88</v>
      </c>
      <c r="BR96"/>
      <c r="BS96" s="187" t="str">
        <f t="shared" si="45"/>
        <v/>
      </c>
      <c r="BT96" s="19" t="str">
        <f t="shared" si="46"/>
        <v/>
      </c>
      <c r="BU96" s="19" t="str">
        <f t="shared" si="47"/>
        <v/>
      </c>
      <c r="BV96" s="10"/>
      <c r="BW96" s="5" t="str">
        <f t="shared" si="48"/>
        <v>X</v>
      </c>
      <c r="BX96" s="5" t="str">
        <f t="shared" si="49"/>
        <v/>
      </c>
      <c r="BY96"/>
      <c r="BZ96" s="5" t="str">
        <f t="shared" si="50"/>
        <v/>
      </c>
      <c r="CA96" s="5" t="str">
        <f t="shared" si="51"/>
        <v/>
      </c>
      <c r="CB96" s="188" t="str">
        <f t="shared" si="52"/>
        <v/>
      </c>
    </row>
    <row r="97" spans="1:80" s="27" customFormat="1" ht="44.5" customHeight="1" x14ac:dyDescent="0.55000000000000004">
      <c r="A97" s="104">
        <v>93</v>
      </c>
      <c r="B97" s="104" t="s">
        <v>75</v>
      </c>
      <c r="C97" s="111" t="s">
        <v>1141</v>
      </c>
      <c r="D97" s="104" t="s">
        <v>1142</v>
      </c>
      <c r="E97" s="104" t="s">
        <v>1143</v>
      </c>
      <c r="F97" s="104" t="s">
        <v>1144</v>
      </c>
      <c r="G97" s="104" t="s">
        <v>1145</v>
      </c>
      <c r="H97" s="104" t="s">
        <v>1146</v>
      </c>
      <c r="I97" s="104" t="s">
        <v>605</v>
      </c>
      <c r="J97" s="104" t="s">
        <v>882</v>
      </c>
      <c r="K97" s="104" t="s">
        <v>84</v>
      </c>
      <c r="L97" s="104"/>
      <c r="M97" s="104"/>
      <c r="N97" s="104"/>
      <c r="O97" s="104"/>
      <c r="P97" s="104"/>
      <c r="Q97" s="102"/>
      <c r="R97" s="104"/>
      <c r="S97" s="104" t="s">
        <v>86</v>
      </c>
      <c r="T97" s="104"/>
      <c r="U97" s="104" t="s">
        <v>1147</v>
      </c>
      <c r="V97" s="104" t="s">
        <v>88</v>
      </c>
      <c r="W97" s="104" t="s">
        <v>1148</v>
      </c>
      <c r="X97" s="104" t="s">
        <v>110</v>
      </c>
      <c r="Y97" s="104" t="s">
        <v>88</v>
      </c>
      <c r="Z97" s="104" t="s">
        <v>1149</v>
      </c>
      <c r="AA97" s="104">
        <v>22</v>
      </c>
      <c r="AB97" s="128">
        <f>LOG(26.7)</f>
        <v>1.4265112613645752</v>
      </c>
      <c r="AC97" s="104" t="s">
        <v>1150</v>
      </c>
      <c r="AD97" s="104" t="s">
        <v>88</v>
      </c>
      <c r="AE97"/>
      <c r="AF97" s="30" t="str" cm="1">
        <f t="array" ref="AF97">_xlfn.IFS(COUNTIF(Table14623576[[#This Row],[PBT/ vPvB]],"*X*"), 20, TRUE, "")</f>
        <v/>
      </c>
      <c r="AG97" s="30" t="str" cm="1">
        <f t="array" ref="AG97">_xlfn.IFS(COUNTIF(Table14623576[[#This Row],[Perturbateur Endocrinien]],"*X*"), 20, TRUE, "")</f>
        <v/>
      </c>
      <c r="AH97" s="30" t="str" cm="1">
        <f t="array" ref="AH97">_xlfn.IFS(COUNTIF(Table14623576[[#This Row],[Phrases H]],"*H350*"), 20, TRUE, "")</f>
        <v/>
      </c>
      <c r="AI97" s="30" t="str" cm="1">
        <f t="array" ref="AI97">_xlfn.IFS(COUNTIF(Table14623576[[#This Row],[Phrases H]],"*H360*"), 20, TRUE, "")</f>
        <v/>
      </c>
      <c r="AJ97" s="30" t="str" cm="1">
        <f t="array" ref="AJ97">_xlfn.IFS(COUNTIF(Table14623576[[#This Row],[Phrases H]],"*H340*"), 20, TRUE, "")</f>
        <v/>
      </c>
      <c r="AK97" s="30" t="str" cm="1">
        <f t="array" ref="AK97">_xlfn.IFS(COUNTIF(Table14623576[[#This Row],[Phrases H]],"*H351*"), 10, TRUE, "")</f>
        <v/>
      </c>
      <c r="AL97" s="30" t="str" cm="1">
        <f t="array" ref="AL97">_xlfn.IFS(COUNTIF(Table14623576[[#This Row],[Phrases H]],"*H361*"), 10, TRUE, "")</f>
        <v/>
      </c>
      <c r="AM97" s="30" t="str" cm="1">
        <f t="array" ref="AM97">_xlfn.IFS(COUNTIF(Table14623576[[#This Row],[Phrases H]],"*H362*"), 10, TRUE, "")</f>
        <v/>
      </c>
      <c r="AN97" s="30" t="str" cm="1">
        <f t="array" ref="AN97">_xlfn.IFS(COUNTIF(Table14623576[[#This Row],[Phrases H]],"*H341*"), 10, TRUE, "")</f>
        <v/>
      </c>
      <c r="AO97" s="30" t="str" cm="1">
        <f t="array" ref="AO97">_xlfn.IFS(COUNTIF(Table14623576[[#This Row],[Phrases H]],"*H372*"), 10, TRUE, "")</f>
        <v/>
      </c>
      <c r="AP97" s="30" t="str" cm="1">
        <f t="array" ref="AP97">_xlfn.IFS(COUNTIF(Table14623576[[#This Row],[Phrases H]],"*H410*"), 10, TRUE, "")</f>
        <v/>
      </c>
      <c r="AQ97" s="30" cm="1">
        <f t="array" ref="AQ97">_xlfn.IFS(COUNTIF(Table14623576[[#This Row],[Phrases H]],"*H373*"), 5, TRUE, "")</f>
        <v>5</v>
      </c>
      <c r="AR97" s="30" t="str" cm="1">
        <f t="array" ref="AR97">_xlfn.IFS(COUNTIF(Table14623576[[#This Row],[Phrases H]],"*H411*"), 5, TRUE, "")</f>
        <v/>
      </c>
      <c r="AS97" s="112">
        <f t="shared" si="53"/>
        <v>5</v>
      </c>
      <c r="AT97" s="129">
        <f>LOG(26.7)</f>
        <v>1.4265112613645752</v>
      </c>
      <c r="AU97" s="113">
        <v>375</v>
      </c>
      <c r="AV97" s="114">
        <f t="shared" si="41"/>
        <v>30</v>
      </c>
      <c r="AW97" s="115" t="str">
        <f>IF(AT97="0","0",IF(AT97&lt;2,"20",IF(AT97&lt;3,"10","0")))</f>
        <v>20</v>
      </c>
      <c r="AX97" s="116">
        <f t="shared" si="42"/>
        <v>25</v>
      </c>
      <c r="AY97" s="117">
        <f t="shared" si="43"/>
        <v>0.29411764705882354</v>
      </c>
      <c r="AZ97" s="118" t="str">
        <f t="shared" si="54"/>
        <v>4</v>
      </c>
      <c r="BA97" s="119" t="str">
        <f t="shared" si="44"/>
        <v>4</v>
      </c>
      <c r="BB97" s="32"/>
      <c r="BC97" s="113">
        <v>1000</v>
      </c>
      <c r="BD97" s="113" t="s">
        <v>97</v>
      </c>
      <c r="BE97" s="120">
        <f t="shared" si="59"/>
        <v>15</v>
      </c>
      <c r="BF97" s="121" t="str">
        <f t="shared" si="55"/>
        <v>Production modérée</v>
      </c>
      <c r="BG97" s="122" t="str">
        <f t="shared" si="56"/>
        <v>C</v>
      </c>
      <c r="BH97" s="32"/>
      <c r="BI97" s="7"/>
      <c r="BJ97" s="5">
        <v>0</v>
      </c>
      <c r="BK97" s="7"/>
      <c r="BL97" s="131">
        <v>0</v>
      </c>
      <c r="BM97" s="132" t="s">
        <v>99</v>
      </c>
      <c r="BN97"/>
      <c r="BO97" s="60" t="str">
        <f t="shared" si="58"/>
        <v>Catégorie 4C NON</v>
      </c>
      <c r="BP97"/>
      <c r="BQ97" s="42" t="s">
        <v>88</v>
      </c>
      <c r="BR97"/>
      <c r="BS97" s="187" t="str">
        <f t="shared" si="45"/>
        <v/>
      </c>
      <c r="BT97" s="19" t="str">
        <f t="shared" si="46"/>
        <v/>
      </c>
      <c r="BU97" s="19" t="str">
        <f t="shared" si="47"/>
        <v/>
      </c>
      <c r="BV97" s="10"/>
      <c r="BW97" s="5" t="str">
        <f t="shared" si="48"/>
        <v/>
      </c>
      <c r="BX97" s="5" t="str">
        <f t="shared" si="49"/>
        <v/>
      </c>
      <c r="BY97"/>
      <c r="BZ97" s="5" t="str">
        <f t="shared" si="50"/>
        <v/>
      </c>
      <c r="CA97" s="5" t="str">
        <f t="shared" si="51"/>
        <v/>
      </c>
      <c r="CB97" s="188" t="str">
        <f t="shared" si="52"/>
        <v/>
      </c>
    </row>
    <row r="98" spans="1:80" s="27" customFormat="1" ht="42.65" customHeight="1" x14ac:dyDescent="0.55000000000000004">
      <c r="A98" s="104">
        <v>94</v>
      </c>
      <c r="B98" s="104" t="s">
        <v>75</v>
      </c>
      <c r="C98" s="111" t="s">
        <v>1151</v>
      </c>
      <c r="D98" s="104" t="s">
        <v>1152</v>
      </c>
      <c r="E98" s="104" t="s">
        <v>1153</v>
      </c>
      <c r="F98" s="104" t="s">
        <v>1154</v>
      </c>
      <c r="G98" s="104" t="s">
        <v>1155</v>
      </c>
      <c r="H98" s="104" t="s">
        <v>1156</v>
      </c>
      <c r="I98" s="104" t="s">
        <v>332</v>
      </c>
      <c r="J98" s="104" t="s">
        <v>921</v>
      </c>
      <c r="K98" s="104" t="s">
        <v>579</v>
      </c>
      <c r="L98" s="104"/>
      <c r="M98" s="104"/>
      <c r="N98" s="104"/>
      <c r="O98" s="104"/>
      <c r="P98" s="104"/>
      <c r="Q98" s="102"/>
      <c r="R98" s="104"/>
      <c r="S98" s="104" t="s">
        <v>86</v>
      </c>
      <c r="T98" s="104"/>
      <c r="U98" s="104" t="s">
        <v>1157</v>
      </c>
      <c r="V98" s="104" t="s">
        <v>88</v>
      </c>
      <c r="W98" s="104" t="s">
        <v>1158</v>
      </c>
      <c r="X98" s="104" t="s">
        <v>335</v>
      </c>
      <c r="Y98" s="104" t="s">
        <v>1159</v>
      </c>
      <c r="Z98" s="104" t="s">
        <v>1160</v>
      </c>
      <c r="AA98" s="104">
        <v>25</v>
      </c>
      <c r="AB98" s="128">
        <f>LOG(19.32)</f>
        <v>1.2860071220794747</v>
      </c>
      <c r="AC98" s="104" t="s">
        <v>1161</v>
      </c>
      <c r="AD98" s="104" t="s">
        <v>1162</v>
      </c>
      <c r="AE98"/>
      <c r="AF98" s="30" t="str" cm="1">
        <f t="array" ref="AF98">_xlfn.IFS(COUNTIF(Table14623576[[#This Row],[PBT/ vPvB]],"*X*"), 20, TRUE, "")</f>
        <v/>
      </c>
      <c r="AG98" s="30" t="str" cm="1">
        <f t="array" ref="AG98">_xlfn.IFS(COUNTIF(Table14623576[[#This Row],[Perturbateur Endocrinien]],"*X*"), 20, TRUE, "")</f>
        <v/>
      </c>
      <c r="AH98" s="30" t="str" cm="1">
        <f t="array" ref="AH98">_xlfn.IFS(COUNTIF(Table14623576[[#This Row],[Phrases H]],"*H350*"), 20, TRUE, "")</f>
        <v/>
      </c>
      <c r="AI98" s="30" cm="1">
        <f t="array" ref="AI98">_xlfn.IFS(COUNTIF(Table14623576[[#This Row],[Phrases H]],"*H360*"), 20, TRUE, "")</f>
        <v>20</v>
      </c>
      <c r="AJ98" s="30" t="str" cm="1">
        <f t="array" ref="AJ98">_xlfn.IFS(COUNTIF(Table14623576[[#This Row],[Phrases H]],"*H340*"), 20, TRUE, "")</f>
        <v/>
      </c>
      <c r="AK98" s="30" t="str" cm="1">
        <f t="array" ref="AK98">_xlfn.IFS(COUNTIF(Table14623576[[#This Row],[Phrases H]],"*H351*"), 10, TRUE, "")</f>
        <v/>
      </c>
      <c r="AL98" s="30" t="str" cm="1">
        <f t="array" ref="AL98">_xlfn.IFS(COUNTIF(Table14623576[[#This Row],[Phrases H]],"*H361*"), 10, TRUE, "")</f>
        <v/>
      </c>
      <c r="AM98" s="30" t="str" cm="1">
        <f t="array" ref="AM98">_xlfn.IFS(COUNTIF(Table14623576[[#This Row],[Phrases H]],"*H362*"), 10, TRUE, "")</f>
        <v/>
      </c>
      <c r="AN98" s="30" t="str" cm="1">
        <f t="array" ref="AN98">_xlfn.IFS(COUNTIF(Table14623576[[#This Row],[Phrases H]],"*H341*"), 10, TRUE, "")</f>
        <v/>
      </c>
      <c r="AO98" s="30" t="str" cm="1">
        <f t="array" ref="AO98">_xlfn.IFS(COUNTIF(Table14623576[[#This Row],[Phrases H]],"*H372*"), 10, TRUE, "")</f>
        <v/>
      </c>
      <c r="AP98" s="30" t="str" cm="1">
        <f t="array" ref="AP98">_xlfn.IFS(COUNTIF(Table14623576[[#This Row],[Phrases H]],"*H410*"), 10, TRUE, "")</f>
        <v/>
      </c>
      <c r="AQ98" s="30" t="str" cm="1">
        <f t="array" ref="AQ98">_xlfn.IFS(COUNTIF(Table14623576[[#This Row],[Phrases H]],"*H373*"), 5, TRUE, "")</f>
        <v/>
      </c>
      <c r="AR98" s="30" t="str" cm="1">
        <f t="array" ref="AR98">_xlfn.IFS(COUNTIF(Table14623576[[#This Row],[Phrases H]],"*H411*"), 5, TRUE, "")</f>
        <v/>
      </c>
      <c r="AS98" s="112">
        <f t="shared" si="53"/>
        <v>20</v>
      </c>
      <c r="AT98" s="129">
        <f>LOG(19.32)</f>
        <v>1.2860071220794747</v>
      </c>
      <c r="AU98" s="113">
        <v>203794</v>
      </c>
      <c r="AV98" s="114">
        <f t="shared" si="41"/>
        <v>50</v>
      </c>
      <c r="AW98" s="115" t="str">
        <f>IF(AT98="0","0",IF(AT98&lt;2,"20",IF(AT98&lt;3,"10","0")))</f>
        <v>20</v>
      </c>
      <c r="AX98" s="116">
        <f t="shared" si="42"/>
        <v>40</v>
      </c>
      <c r="AY98" s="117">
        <f t="shared" si="43"/>
        <v>0.47058823529411764</v>
      </c>
      <c r="AZ98" s="118" t="str">
        <f t="shared" si="54"/>
        <v>3</v>
      </c>
      <c r="BA98" s="119" t="str">
        <f t="shared" si="44"/>
        <v>3</v>
      </c>
      <c r="BB98" s="32"/>
      <c r="BC98" s="113" t="s">
        <v>256</v>
      </c>
      <c r="BD98" s="113" t="s">
        <v>97</v>
      </c>
      <c r="BE98" s="120">
        <f t="shared" si="59"/>
        <v>25</v>
      </c>
      <c r="BF98" s="121" t="str">
        <f t="shared" si="55"/>
        <v>Production très élevée</v>
      </c>
      <c r="BG98" s="122" t="str">
        <f t="shared" si="56"/>
        <v>A</v>
      </c>
      <c r="BH98" s="32"/>
      <c r="BI98" s="7"/>
      <c r="BJ98" s="5">
        <v>0</v>
      </c>
      <c r="BK98" s="7"/>
      <c r="BL98" s="131">
        <v>0</v>
      </c>
      <c r="BM98" s="132" t="s">
        <v>99</v>
      </c>
      <c r="BN98"/>
      <c r="BO98" s="60" t="str">
        <f t="shared" si="58"/>
        <v>Catégorie 3A NON</v>
      </c>
      <c r="BP98"/>
      <c r="BQ98" s="42" t="s">
        <v>88</v>
      </c>
      <c r="BR98"/>
      <c r="BS98" s="187" t="str">
        <f t="shared" si="45"/>
        <v>X</v>
      </c>
      <c r="BT98" s="19" t="str">
        <f t="shared" si="46"/>
        <v/>
      </c>
      <c r="BU98" s="19" t="str">
        <f t="shared" si="47"/>
        <v/>
      </c>
      <c r="BV98" s="10"/>
      <c r="BW98" s="5" t="str">
        <f t="shared" si="48"/>
        <v/>
      </c>
      <c r="BX98" s="5" t="str">
        <f t="shared" si="49"/>
        <v/>
      </c>
      <c r="BY98"/>
      <c r="BZ98" s="5" t="str">
        <f t="shared" si="50"/>
        <v>X</v>
      </c>
      <c r="CA98" s="5" t="str">
        <f t="shared" si="51"/>
        <v/>
      </c>
      <c r="CB98" s="188" t="str">
        <f t="shared" si="52"/>
        <v/>
      </c>
    </row>
    <row r="99" spans="1:80" s="27" customFormat="1" ht="30" customHeight="1" x14ac:dyDescent="0.55000000000000004">
      <c r="A99" s="104">
        <v>95</v>
      </c>
      <c r="B99" s="104" t="s">
        <v>75</v>
      </c>
      <c r="C99" s="111" t="s">
        <v>1163</v>
      </c>
      <c r="D99" s="104" t="s">
        <v>1164</v>
      </c>
      <c r="E99" s="104" t="s">
        <v>1165</v>
      </c>
      <c r="F99" s="104" t="s">
        <v>1166</v>
      </c>
      <c r="G99" s="104" t="s">
        <v>1167</v>
      </c>
      <c r="H99" s="104" t="s">
        <v>1168</v>
      </c>
      <c r="I99" s="104" t="s">
        <v>512</v>
      </c>
      <c r="J99" s="104" t="s">
        <v>961</v>
      </c>
      <c r="K99" s="104" t="s">
        <v>186</v>
      </c>
      <c r="L99" s="104"/>
      <c r="M99" s="104"/>
      <c r="N99" s="104"/>
      <c r="O99" s="104"/>
      <c r="P99" s="104"/>
      <c r="Q99" s="102"/>
      <c r="R99" s="104"/>
      <c r="S99" s="104" t="s">
        <v>88</v>
      </c>
      <c r="T99" s="104"/>
      <c r="U99" s="104" t="s">
        <v>1169</v>
      </c>
      <c r="V99" s="104" t="s">
        <v>88</v>
      </c>
      <c r="W99" s="104" t="s">
        <v>88</v>
      </c>
      <c r="X99" s="104" t="s">
        <v>88</v>
      </c>
      <c r="Y99" s="104" t="s">
        <v>88</v>
      </c>
      <c r="Z99" s="104" t="s">
        <v>88</v>
      </c>
      <c r="AA99" s="104" t="s">
        <v>88</v>
      </c>
      <c r="AB99" s="104" t="s">
        <v>88</v>
      </c>
      <c r="AC99" s="104" t="s">
        <v>88</v>
      </c>
      <c r="AD99" s="104" t="s">
        <v>88</v>
      </c>
      <c r="AE99"/>
      <c r="AF99" s="30" t="str" cm="1">
        <f t="array" ref="AF99">_xlfn.IFS(COUNTIF(Table14623576[[#This Row],[PBT/ vPvB]],"*X*"), 20, TRUE, "")</f>
        <v/>
      </c>
      <c r="AG99" s="30" t="str" cm="1">
        <f t="array" ref="AG99">_xlfn.IFS(COUNTIF(Table14623576[[#This Row],[Perturbateur Endocrinien]],"*X*"), 20, TRUE, "")</f>
        <v/>
      </c>
      <c r="AH99" s="30" t="str" cm="1">
        <f t="array" ref="AH99">_xlfn.IFS(COUNTIF(Table14623576[[#This Row],[Phrases H]],"*H350*"), 20, TRUE, "")</f>
        <v/>
      </c>
      <c r="AI99" s="30" t="str" cm="1">
        <f t="array" ref="AI99">_xlfn.IFS(COUNTIF(Table14623576[[#This Row],[Phrases H]],"*H360*"), 20, TRUE, "")</f>
        <v/>
      </c>
      <c r="AJ99" s="30" t="str" cm="1">
        <f t="array" ref="AJ99">_xlfn.IFS(COUNTIF(Table14623576[[#This Row],[Phrases H]],"*H340*"), 20, TRUE, "")</f>
        <v/>
      </c>
      <c r="AK99" s="30" t="str" cm="1">
        <f t="array" ref="AK99">_xlfn.IFS(COUNTIF(Table14623576[[#This Row],[Phrases H]],"*H351*"), 10, TRUE, "")</f>
        <v/>
      </c>
      <c r="AL99" s="30" t="str" cm="1">
        <f t="array" ref="AL99">_xlfn.IFS(COUNTIF(Table14623576[[#This Row],[Phrases H]],"*H361*"), 10, TRUE, "")</f>
        <v/>
      </c>
      <c r="AM99" s="30" t="str" cm="1">
        <f t="array" ref="AM99">_xlfn.IFS(COUNTIF(Table14623576[[#This Row],[Phrases H]],"*H362*"), 10, TRUE, "")</f>
        <v/>
      </c>
      <c r="AN99" s="30" t="str" cm="1">
        <f t="array" ref="AN99">_xlfn.IFS(COUNTIF(Table14623576[[#This Row],[Phrases H]],"*H341*"), 10, TRUE, "")</f>
        <v/>
      </c>
      <c r="AO99" s="30" t="str" cm="1">
        <f t="array" ref="AO99">_xlfn.IFS(COUNTIF(Table14623576[[#This Row],[Phrases H]],"*H372*"), 10, TRUE, "")</f>
        <v/>
      </c>
      <c r="AP99" s="30" t="str" cm="1">
        <f t="array" ref="AP99">_xlfn.IFS(COUNTIF(Table14623576[[#This Row],[Phrases H]],"*H410*"), 10, TRUE, "")</f>
        <v/>
      </c>
      <c r="AQ99" s="30" cm="1">
        <f t="array" ref="AQ99">_xlfn.IFS(COUNTIF(Table14623576[[#This Row],[Phrases H]],"*H373*"), 5, TRUE, "")</f>
        <v>5</v>
      </c>
      <c r="AR99" s="30" cm="1">
        <f t="array" ref="AR99">_xlfn.IFS(COUNTIF(Table14623576[[#This Row],[Phrases H]],"*H411*"), 5, TRUE, "")</f>
        <v>5</v>
      </c>
      <c r="AS99" s="112">
        <f t="shared" si="53"/>
        <v>10</v>
      </c>
      <c r="AT99" s="113" t="s">
        <v>88</v>
      </c>
      <c r="AU99" s="113" t="s">
        <v>88</v>
      </c>
      <c r="AV99" s="114" t="str">
        <f t="shared" si="41"/>
        <v>N/A</v>
      </c>
      <c r="AW99" s="115">
        <v>20</v>
      </c>
      <c r="AX99" s="116">
        <f t="shared" si="42"/>
        <v>30</v>
      </c>
      <c r="AY99" s="117">
        <f t="shared" si="43"/>
        <v>0.35294117647058826</v>
      </c>
      <c r="AZ99" s="118" t="str">
        <f t="shared" si="54"/>
        <v>4</v>
      </c>
      <c r="BA99" s="119" t="str">
        <f t="shared" si="44"/>
        <v>4</v>
      </c>
      <c r="BB99" s="32"/>
      <c r="BC99" s="113">
        <v>10</v>
      </c>
      <c r="BD99" s="113" t="s">
        <v>97</v>
      </c>
      <c r="BE99" s="120">
        <f t="shared" si="59"/>
        <v>5</v>
      </c>
      <c r="BF99" s="121" t="str">
        <f t="shared" si="55"/>
        <v>Très faible production</v>
      </c>
      <c r="BG99" s="122" t="str">
        <f t="shared" si="56"/>
        <v>E</v>
      </c>
      <c r="BH99" s="32"/>
      <c r="BI99" s="7"/>
      <c r="BJ99" s="5">
        <v>0</v>
      </c>
      <c r="BK99" s="7"/>
      <c r="BL99" s="131">
        <v>0</v>
      </c>
      <c r="BM99" s="132" t="s">
        <v>99</v>
      </c>
      <c r="BN99"/>
      <c r="BO99" s="60" t="str">
        <f t="shared" si="58"/>
        <v>Catégorie 4E NON</v>
      </c>
      <c r="BP99"/>
      <c r="BQ99" s="42" t="s">
        <v>88</v>
      </c>
      <c r="BR99"/>
      <c r="BS99" s="187" t="str">
        <f t="shared" si="45"/>
        <v/>
      </c>
      <c r="BT99" s="19" t="str">
        <f t="shared" si="46"/>
        <v/>
      </c>
      <c r="BU99" s="19" t="str">
        <f t="shared" si="47"/>
        <v/>
      </c>
      <c r="BV99" s="10"/>
      <c r="BW99" s="5" t="str">
        <f t="shared" si="48"/>
        <v>X</v>
      </c>
      <c r="BX99" s="5" t="str">
        <f t="shared" si="49"/>
        <v/>
      </c>
      <c r="BY99"/>
      <c r="BZ99" s="5" t="str">
        <f t="shared" si="50"/>
        <v/>
      </c>
      <c r="CA99" s="5" t="str">
        <f t="shared" si="51"/>
        <v/>
      </c>
      <c r="CB99" s="188" t="str">
        <f t="shared" si="52"/>
        <v/>
      </c>
    </row>
    <row r="100" spans="1:80" s="27" customFormat="1" ht="44.15" customHeight="1" x14ac:dyDescent="0.55000000000000004">
      <c r="A100" s="104">
        <v>96</v>
      </c>
      <c r="B100" s="104" t="s">
        <v>75</v>
      </c>
      <c r="C100" s="111" t="s">
        <v>1170</v>
      </c>
      <c r="D100" s="104" t="s">
        <v>1171</v>
      </c>
      <c r="E100" s="104" t="s">
        <v>1172</v>
      </c>
      <c r="F100" s="104" t="s">
        <v>1173</v>
      </c>
      <c r="G100" s="104" t="s">
        <v>88</v>
      </c>
      <c r="H100" s="104" t="s">
        <v>88</v>
      </c>
      <c r="I100" s="104"/>
      <c r="J100" s="104" t="s">
        <v>831</v>
      </c>
      <c r="K100" s="104" t="s">
        <v>292</v>
      </c>
      <c r="L100" s="104"/>
      <c r="M100" s="104"/>
      <c r="N100" s="104"/>
      <c r="O100" s="104"/>
      <c r="P100" s="104"/>
      <c r="Q100" s="102"/>
      <c r="R100" s="104" t="s">
        <v>85</v>
      </c>
      <c r="S100" s="104" t="s">
        <v>86</v>
      </c>
      <c r="T100" s="104" t="s">
        <v>85</v>
      </c>
      <c r="U100" s="104" t="s">
        <v>1174</v>
      </c>
      <c r="V100" s="104" t="s">
        <v>88</v>
      </c>
      <c r="W100" s="104" t="s">
        <v>1175</v>
      </c>
      <c r="X100" s="104" t="s">
        <v>335</v>
      </c>
      <c r="Y100" s="104" t="s">
        <v>93</v>
      </c>
      <c r="Z100" s="104" t="s">
        <v>1176</v>
      </c>
      <c r="AA100" s="104">
        <v>20</v>
      </c>
      <c r="AB100" s="104" t="s">
        <v>88</v>
      </c>
      <c r="AC100" s="104" t="s">
        <v>88</v>
      </c>
      <c r="AD100" s="104" t="s">
        <v>93</v>
      </c>
      <c r="AE100"/>
      <c r="AF100" s="30" cm="1">
        <f t="array" ref="AF100">_xlfn.IFS(COUNTIF(Table14623576[[#This Row],[PBT/ vPvB]],"*X*"), 20, TRUE, "")</f>
        <v>20</v>
      </c>
      <c r="AG100" s="30" cm="1">
        <f t="array" ref="AG100">_xlfn.IFS(COUNTIF(Table14623576[[#This Row],[Perturbateur Endocrinien]],"*X*"), 20, TRUE, "")</f>
        <v>20</v>
      </c>
      <c r="AH100" s="30" t="str" cm="1">
        <f t="array" ref="AH100">_xlfn.IFS(COUNTIF(Table14623576[[#This Row],[Phrases H]],"*H350*"), 20, TRUE, "")</f>
        <v/>
      </c>
      <c r="AI100" s="30" t="str" cm="1">
        <f t="array" ref="AI100">_xlfn.IFS(COUNTIF(Table14623576[[#This Row],[Phrases H]],"*H360*"), 20, TRUE, "")</f>
        <v/>
      </c>
      <c r="AJ100" s="30" t="str" cm="1">
        <f t="array" ref="AJ100">_xlfn.IFS(COUNTIF(Table14623576[[#This Row],[Phrases H]],"*H340*"), 20, TRUE, "")</f>
        <v/>
      </c>
      <c r="AK100" s="30" t="str" cm="1">
        <f t="array" ref="AK100">_xlfn.IFS(COUNTIF(Table14623576[[#This Row],[Phrases H]],"*H351*"), 10, TRUE, "")</f>
        <v/>
      </c>
      <c r="AL100" s="30" t="str" cm="1">
        <f t="array" ref="AL100">_xlfn.IFS(COUNTIF(Table14623576[[#This Row],[Phrases H]],"*H361*"), 10, TRUE, "")</f>
        <v/>
      </c>
      <c r="AM100" s="30" t="str" cm="1">
        <f t="array" ref="AM100">_xlfn.IFS(COUNTIF(Table14623576[[#This Row],[Phrases H]],"*H362*"), 10, TRUE, "")</f>
        <v/>
      </c>
      <c r="AN100" s="30" t="str" cm="1">
        <f t="array" ref="AN100">_xlfn.IFS(COUNTIF(Table14623576[[#This Row],[Phrases H]],"*H341*"), 10, TRUE, "")</f>
        <v/>
      </c>
      <c r="AO100" s="30" t="str" cm="1">
        <f t="array" ref="AO100">_xlfn.IFS(COUNTIF(Table14623576[[#This Row],[Phrases H]],"*H372*"), 10, TRUE, "")</f>
        <v/>
      </c>
      <c r="AP100" s="30" t="str" cm="1">
        <f t="array" ref="AP100">_xlfn.IFS(COUNTIF(Table14623576[[#This Row],[Phrases H]],"*H410*"), 10, TRUE, "")</f>
        <v/>
      </c>
      <c r="AQ100" s="30" t="str" cm="1">
        <f t="array" ref="AQ100">_xlfn.IFS(COUNTIF(Table14623576[[#This Row],[Phrases H]],"*H373*"), 5, TRUE, "")</f>
        <v/>
      </c>
      <c r="AR100" s="30" t="str" cm="1">
        <f t="array" ref="AR100">_xlfn.IFS(COUNTIF(Table14623576[[#This Row],[Phrases H]],"*H411*"), 5, TRUE, "")</f>
        <v/>
      </c>
      <c r="AS100" s="112">
        <f t="shared" si="53"/>
        <v>40</v>
      </c>
      <c r="AT100" s="113" t="s">
        <v>88</v>
      </c>
      <c r="AU100" s="113">
        <v>0.04</v>
      </c>
      <c r="AV100" s="114">
        <f t="shared" si="41"/>
        <v>10</v>
      </c>
      <c r="AW100" s="115" t="str">
        <f>IF(OR(AV100=30,AV100=40),10,IF(AV100=50,20,"0"))</f>
        <v>0</v>
      </c>
      <c r="AX100" s="116">
        <f t="shared" si="42"/>
        <v>40</v>
      </c>
      <c r="AY100" s="117">
        <f t="shared" si="43"/>
        <v>0.47058823529411764</v>
      </c>
      <c r="AZ100" s="118" t="str">
        <f t="shared" si="54"/>
        <v>3</v>
      </c>
      <c r="BA100" s="119" t="str">
        <f t="shared" si="44"/>
        <v>3</v>
      </c>
      <c r="BB100" s="32"/>
      <c r="BC100" s="113">
        <v>10000</v>
      </c>
      <c r="BD100" s="113" t="s">
        <v>97</v>
      </c>
      <c r="BE100" s="120">
        <f t="shared" si="59"/>
        <v>20</v>
      </c>
      <c r="BF100" s="121" t="str">
        <f t="shared" si="55"/>
        <v>Production élevée</v>
      </c>
      <c r="BG100" s="122" t="str">
        <f t="shared" si="56"/>
        <v>B</v>
      </c>
      <c r="BH100" s="32"/>
      <c r="BI100" s="7"/>
      <c r="BJ100" s="5">
        <v>0</v>
      </c>
      <c r="BK100" s="7"/>
      <c r="BL100" s="131">
        <v>0</v>
      </c>
      <c r="BM100" s="132" t="s">
        <v>99</v>
      </c>
      <c r="BN100"/>
      <c r="BO100" s="60" t="str">
        <f t="shared" si="58"/>
        <v>Catégorie 3B NON</v>
      </c>
      <c r="BP100"/>
      <c r="BQ100" s="42" t="s">
        <v>88</v>
      </c>
      <c r="BR100"/>
      <c r="BS100" s="187" t="str">
        <f t="shared" si="45"/>
        <v>X</v>
      </c>
      <c r="BT100" s="19" t="str">
        <f t="shared" si="46"/>
        <v/>
      </c>
      <c r="BU100" s="19" t="str">
        <f t="shared" si="47"/>
        <v/>
      </c>
      <c r="BV100" s="10"/>
      <c r="BW100" s="5" t="str">
        <f t="shared" si="48"/>
        <v/>
      </c>
      <c r="BX100" s="5" t="str">
        <f t="shared" si="49"/>
        <v/>
      </c>
      <c r="BY100"/>
      <c r="BZ100" s="5" t="str">
        <f t="shared" si="50"/>
        <v>X</v>
      </c>
      <c r="CA100" s="5" t="str">
        <f t="shared" si="51"/>
        <v/>
      </c>
      <c r="CB100" s="188" t="str">
        <f t="shared" si="52"/>
        <v/>
      </c>
    </row>
    <row r="101" spans="1:80" s="27" customFormat="1" ht="30" customHeight="1" x14ac:dyDescent="0.55000000000000004">
      <c r="A101" s="104">
        <v>97</v>
      </c>
      <c r="B101" s="104" t="s">
        <v>75</v>
      </c>
      <c r="C101" s="111" t="s">
        <v>1177</v>
      </c>
      <c r="D101" s="104" t="s">
        <v>1178</v>
      </c>
      <c r="E101" s="104" t="s">
        <v>1179</v>
      </c>
      <c r="F101" s="104" t="s">
        <v>1180</v>
      </c>
      <c r="G101" s="104" t="s">
        <v>1181</v>
      </c>
      <c r="H101" s="104" t="s">
        <v>1182</v>
      </c>
      <c r="I101" s="104" t="s">
        <v>605</v>
      </c>
      <c r="J101" s="104" t="s">
        <v>882</v>
      </c>
      <c r="K101" s="104" t="s">
        <v>84</v>
      </c>
      <c r="L101" s="104"/>
      <c r="M101" s="104"/>
      <c r="N101" s="104"/>
      <c r="O101" s="104"/>
      <c r="P101" s="104"/>
      <c r="Q101" s="102"/>
      <c r="R101" s="104"/>
      <c r="S101" s="104" t="s">
        <v>86</v>
      </c>
      <c r="T101" s="104"/>
      <c r="U101" s="104" t="s">
        <v>1183</v>
      </c>
      <c r="V101" s="104" t="s">
        <v>173</v>
      </c>
      <c r="W101" s="104" t="s">
        <v>1184</v>
      </c>
      <c r="X101" s="104" t="s">
        <v>1185</v>
      </c>
      <c r="Y101" s="104" t="s">
        <v>88</v>
      </c>
      <c r="Z101" s="104" t="s">
        <v>1186</v>
      </c>
      <c r="AA101" s="104" t="s">
        <v>88</v>
      </c>
      <c r="AB101" s="104" t="s">
        <v>88</v>
      </c>
      <c r="AC101" s="104" t="s">
        <v>88</v>
      </c>
      <c r="AD101" s="104" t="s">
        <v>1187</v>
      </c>
      <c r="AE101"/>
      <c r="AF101" s="30" t="str" cm="1">
        <f t="array" ref="AF101">_xlfn.IFS(COUNTIF(Table14623576[[#This Row],[PBT/ vPvB]],"*X*"), 20, TRUE, "")</f>
        <v/>
      </c>
      <c r="AG101" s="30" t="str" cm="1">
        <f t="array" ref="AG101">_xlfn.IFS(COUNTIF(Table14623576[[#This Row],[Perturbateur Endocrinien]],"*X*"), 20, TRUE, "")</f>
        <v/>
      </c>
      <c r="AH101" s="30" t="str" cm="1">
        <f t="array" ref="AH101">_xlfn.IFS(COUNTIF(Table14623576[[#This Row],[Phrases H]],"*H350*"), 20, TRUE, "")</f>
        <v/>
      </c>
      <c r="AI101" s="30" t="str" cm="1">
        <f t="array" ref="AI101">_xlfn.IFS(COUNTIF(Table14623576[[#This Row],[Phrases H]],"*H360*"), 20, TRUE, "")</f>
        <v/>
      </c>
      <c r="AJ101" s="30" t="str" cm="1">
        <f t="array" ref="AJ101">_xlfn.IFS(COUNTIF(Table14623576[[#This Row],[Phrases H]],"*H340*"), 20, TRUE, "")</f>
        <v/>
      </c>
      <c r="AK101" s="30" cm="1">
        <f t="array" ref="AK101">_xlfn.IFS(COUNTIF(Table14623576[[#This Row],[Phrases H]],"*H351*"), 10, TRUE, "")</f>
        <v>10</v>
      </c>
      <c r="AL101" s="30" cm="1">
        <f t="array" ref="AL101">_xlfn.IFS(COUNTIF(Table14623576[[#This Row],[Phrases H]],"*H361*"), 10, TRUE, "")</f>
        <v>10</v>
      </c>
      <c r="AM101" s="30" t="str" cm="1">
        <f t="array" ref="AM101">_xlfn.IFS(COUNTIF(Table14623576[[#This Row],[Phrases H]],"*H362*"), 10, TRUE, "")</f>
        <v/>
      </c>
      <c r="AN101" s="30" t="str" cm="1">
        <f t="array" ref="AN101">_xlfn.IFS(COUNTIF(Table14623576[[#This Row],[Phrases H]],"*H341*"), 10, TRUE, "")</f>
        <v/>
      </c>
      <c r="AO101" s="30" t="str" cm="1">
        <f t="array" ref="AO101">_xlfn.IFS(COUNTIF(Table14623576[[#This Row],[Phrases H]],"*H372*"), 10, TRUE, "")</f>
        <v/>
      </c>
      <c r="AP101" s="30" t="str" cm="1">
        <f t="array" ref="AP101">_xlfn.IFS(COUNTIF(Table14623576[[#This Row],[Phrases H]],"*H410*"), 10, TRUE, "")</f>
        <v/>
      </c>
      <c r="AQ101" s="30" cm="1">
        <f t="array" ref="AQ101">_xlfn.IFS(COUNTIF(Table14623576[[#This Row],[Phrases H]],"*H373*"), 5, TRUE, "")</f>
        <v>5</v>
      </c>
      <c r="AR101" s="30" t="str" cm="1">
        <f t="array" ref="AR101">_xlfn.IFS(COUNTIF(Table14623576[[#This Row],[Phrases H]],"*H411*"), 5, TRUE, "")</f>
        <v/>
      </c>
      <c r="AS101" s="112">
        <f t="shared" si="53"/>
        <v>25</v>
      </c>
      <c r="AT101" s="113" t="s">
        <v>88</v>
      </c>
      <c r="AU101" s="113">
        <v>12996</v>
      </c>
      <c r="AV101" s="114">
        <f t="shared" si="41"/>
        <v>40</v>
      </c>
      <c r="AW101" s="115">
        <f>IF(OR(AV101=30,AV101=40),10,IF(AV101=50,20,"0"))</f>
        <v>10</v>
      </c>
      <c r="AX101" s="116">
        <f t="shared" ref="AX101:AX132" si="61">AS101+AW101</f>
        <v>35</v>
      </c>
      <c r="AY101" s="117">
        <f t="shared" ref="AY101:AY132" si="62">AX101/85</f>
        <v>0.41176470588235292</v>
      </c>
      <c r="AZ101" s="118" t="str">
        <f t="shared" si="54"/>
        <v>3</v>
      </c>
      <c r="BA101" s="119" t="str">
        <f t="shared" ref="BA101:BA132" si="63">IF(AX101&lt;=17,"5",IF(AX101&lt;=34,"4",IF(AX101&lt;=51,"3",IF(AX101&lt;=68,"2","1"))))</f>
        <v>3</v>
      </c>
      <c r="BB101" s="32"/>
      <c r="BC101" s="113">
        <v>1000</v>
      </c>
      <c r="BD101" s="113" t="s">
        <v>97</v>
      </c>
      <c r="BE101" s="120">
        <f t="shared" si="59"/>
        <v>15</v>
      </c>
      <c r="BF101" s="121" t="str">
        <f t="shared" si="55"/>
        <v>Production modérée</v>
      </c>
      <c r="BG101" s="122" t="str">
        <f t="shared" si="56"/>
        <v>C</v>
      </c>
      <c r="BH101" s="32"/>
      <c r="BI101" s="7"/>
      <c r="BJ101" s="5">
        <v>0</v>
      </c>
      <c r="BK101" s="7"/>
      <c r="BL101" s="131">
        <v>0</v>
      </c>
      <c r="BM101" s="132" t="s">
        <v>99</v>
      </c>
      <c r="BN101"/>
      <c r="BO101" s="60" t="str">
        <f t="shared" si="58"/>
        <v>Catégorie 3C NON</v>
      </c>
      <c r="BP101"/>
      <c r="BQ101" s="42" t="s">
        <v>88</v>
      </c>
      <c r="BR101"/>
      <c r="BS101" s="187" t="str">
        <f t="shared" ref="BS101:BS132" si="64">IF(AY101&gt;=0.4,"X","")</f>
        <v>X</v>
      </c>
      <c r="BT101" s="19" t="str">
        <f t="shared" ref="BT101:BT132" si="65">IF(AY101&gt;=0.5,"X","")</f>
        <v/>
      </c>
      <c r="BU101" s="19" t="str">
        <f t="shared" ref="BU101:BU132" si="66">IF(AY101&gt;=0.6,"X","")</f>
        <v/>
      </c>
      <c r="BV101" s="10"/>
      <c r="BW101" s="5" t="str">
        <f t="shared" ref="BW101:BW132" si="67">IF(OR(BG101="D", BG101="E"), "X", "")</f>
        <v/>
      </c>
      <c r="BX101" s="5" t="str">
        <f t="shared" ref="BX101:BX132" si="68">IF(BM101="OUI", "X", "")</f>
        <v/>
      </c>
      <c r="BY101"/>
      <c r="BZ101" s="5" t="str">
        <f t="shared" ref="BZ101:BZ132" si="69">IF(OR(AND(BS101="X", BW101&lt;&gt;"X"), AND(BX101="X")), "X", "")</f>
        <v>X</v>
      </c>
      <c r="CA101" s="5" t="str">
        <f t="shared" ref="CA101:CA132" si="70">IF(OR(AND(BT101="X", BW101&lt;&gt;"X"), AND(BX101="X")), "X", "")</f>
        <v/>
      </c>
      <c r="CB101" s="188" t="str">
        <f t="shared" ref="CB101:CB132" si="71">IF(OR(AND(BU101="X", BW101&lt;&gt;"X"), AND(BX101="X")), "X", "")</f>
        <v/>
      </c>
    </row>
    <row r="102" spans="1:80" s="27" customFormat="1" ht="30" customHeight="1" x14ac:dyDescent="0.55000000000000004">
      <c r="A102" s="104">
        <v>98</v>
      </c>
      <c r="B102" s="104" t="s">
        <v>75</v>
      </c>
      <c r="C102" s="111" t="s">
        <v>1188</v>
      </c>
      <c r="D102" s="104" t="s">
        <v>1189</v>
      </c>
      <c r="E102" s="104" t="s">
        <v>1190</v>
      </c>
      <c r="F102" s="104" t="s">
        <v>1191</v>
      </c>
      <c r="G102" s="104" t="s">
        <v>1192</v>
      </c>
      <c r="H102" s="104" t="s">
        <v>1193</v>
      </c>
      <c r="I102" s="104" t="s">
        <v>605</v>
      </c>
      <c r="J102" s="104" t="s">
        <v>882</v>
      </c>
      <c r="K102" s="104" t="s">
        <v>292</v>
      </c>
      <c r="L102" s="104"/>
      <c r="M102" s="104"/>
      <c r="N102" s="104"/>
      <c r="O102" s="104"/>
      <c r="P102" s="104"/>
      <c r="Q102" s="102"/>
      <c r="R102" s="104"/>
      <c r="S102" s="104" t="s">
        <v>86</v>
      </c>
      <c r="T102" s="104"/>
      <c r="U102" s="104" t="s">
        <v>1183</v>
      </c>
      <c r="V102" s="104" t="s">
        <v>173</v>
      </c>
      <c r="W102" s="104" t="s">
        <v>1194</v>
      </c>
      <c r="X102" s="104" t="s">
        <v>93</v>
      </c>
      <c r="Y102" s="104" t="s">
        <v>1195</v>
      </c>
      <c r="Z102" s="104" t="s">
        <v>1196</v>
      </c>
      <c r="AA102" s="104">
        <v>20</v>
      </c>
      <c r="AB102" s="128">
        <f>LOG(21)</f>
        <v>1.3222192947339193</v>
      </c>
      <c r="AC102" s="104" t="s">
        <v>1197</v>
      </c>
      <c r="AD102" s="104" t="s">
        <v>93</v>
      </c>
      <c r="AE102"/>
      <c r="AF102" s="30" t="str" cm="1">
        <f t="array" ref="AF102">_xlfn.IFS(COUNTIF(Table14623576[[#This Row],[PBT/ vPvB]],"*X*"), 20, TRUE, "")</f>
        <v/>
      </c>
      <c r="AG102" s="30" t="str" cm="1">
        <f t="array" ref="AG102">_xlfn.IFS(COUNTIF(Table14623576[[#This Row],[Perturbateur Endocrinien]],"*X*"), 20, TRUE, "")</f>
        <v/>
      </c>
      <c r="AH102" s="30" t="str" cm="1">
        <f t="array" ref="AH102">_xlfn.IFS(COUNTIF(Table14623576[[#This Row],[Phrases H]],"*H350*"), 20, TRUE, "")</f>
        <v/>
      </c>
      <c r="AI102" s="30" t="str" cm="1">
        <f t="array" ref="AI102">_xlfn.IFS(COUNTIF(Table14623576[[#This Row],[Phrases H]],"*H360*"), 20, TRUE, "")</f>
        <v/>
      </c>
      <c r="AJ102" s="30" t="str" cm="1">
        <f t="array" ref="AJ102">_xlfn.IFS(COUNTIF(Table14623576[[#This Row],[Phrases H]],"*H340*"), 20, TRUE, "")</f>
        <v/>
      </c>
      <c r="AK102" s="30" cm="1">
        <f t="array" ref="AK102">_xlfn.IFS(COUNTIF(Table14623576[[#This Row],[Phrases H]],"*H351*"), 10, TRUE, "")</f>
        <v>10</v>
      </c>
      <c r="AL102" s="30" cm="1">
        <f t="array" ref="AL102">_xlfn.IFS(COUNTIF(Table14623576[[#This Row],[Phrases H]],"*H361*"), 10, TRUE, "")</f>
        <v>10</v>
      </c>
      <c r="AM102" s="30" t="str" cm="1">
        <f t="array" ref="AM102">_xlfn.IFS(COUNTIF(Table14623576[[#This Row],[Phrases H]],"*H362*"), 10, TRUE, "")</f>
        <v/>
      </c>
      <c r="AN102" s="30" t="str" cm="1">
        <f t="array" ref="AN102">_xlfn.IFS(COUNTIF(Table14623576[[#This Row],[Phrases H]],"*H341*"), 10, TRUE, "")</f>
        <v/>
      </c>
      <c r="AO102" s="30" t="str" cm="1">
        <f t="array" ref="AO102">_xlfn.IFS(COUNTIF(Table14623576[[#This Row],[Phrases H]],"*H372*"), 10, TRUE, "")</f>
        <v/>
      </c>
      <c r="AP102" s="30" t="str" cm="1">
        <f t="array" ref="AP102">_xlfn.IFS(COUNTIF(Table14623576[[#This Row],[Phrases H]],"*H410*"), 10, TRUE, "")</f>
        <v/>
      </c>
      <c r="AQ102" s="30" cm="1">
        <f t="array" ref="AQ102">_xlfn.IFS(COUNTIF(Table14623576[[#This Row],[Phrases H]],"*H373*"), 5, TRUE, "")</f>
        <v>5</v>
      </c>
      <c r="AR102" s="30" t="str" cm="1">
        <f t="array" ref="AR102">_xlfn.IFS(COUNTIF(Table14623576[[#This Row],[Phrases H]],"*H411*"), 5, TRUE, "")</f>
        <v/>
      </c>
      <c r="AS102" s="112">
        <f t="shared" si="53"/>
        <v>25</v>
      </c>
      <c r="AT102" s="129">
        <f>LOG(21)</f>
        <v>1.3222192947339193</v>
      </c>
      <c r="AU102" s="113">
        <v>3900</v>
      </c>
      <c r="AV102" s="114">
        <f t="shared" si="41"/>
        <v>40</v>
      </c>
      <c r="AW102" s="115" t="str">
        <f>IF(AT102="0","0",IF(AT102&lt;2,"20",IF(AT102&lt;3,"10","0")))</f>
        <v>20</v>
      </c>
      <c r="AX102" s="116">
        <f t="shared" si="61"/>
        <v>45</v>
      </c>
      <c r="AY102" s="117">
        <f t="shared" si="62"/>
        <v>0.52941176470588236</v>
      </c>
      <c r="AZ102" s="118" t="str">
        <f t="shared" si="54"/>
        <v>3</v>
      </c>
      <c r="BA102" s="119" t="str">
        <f t="shared" si="63"/>
        <v>3</v>
      </c>
      <c r="BB102" s="32"/>
      <c r="BC102" s="113">
        <v>10000</v>
      </c>
      <c r="BD102" s="113" t="s">
        <v>97</v>
      </c>
      <c r="BE102" s="120">
        <f t="shared" si="59"/>
        <v>20</v>
      </c>
      <c r="BF102" s="121" t="str">
        <f t="shared" si="55"/>
        <v>Production élevée</v>
      </c>
      <c r="BG102" s="122" t="str">
        <f t="shared" si="56"/>
        <v>B</v>
      </c>
      <c r="BH102" s="32"/>
      <c r="BI102" s="7"/>
      <c r="BJ102" s="5">
        <v>0</v>
      </c>
      <c r="BK102" s="7"/>
      <c r="BL102" s="131">
        <v>0</v>
      </c>
      <c r="BM102" s="132" t="s">
        <v>99</v>
      </c>
      <c r="BN102"/>
      <c r="BO102" s="60" t="str">
        <f t="shared" si="58"/>
        <v>Catégorie 3B NON</v>
      </c>
      <c r="BP102"/>
      <c r="BQ102" s="42" t="s">
        <v>88</v>
      </c>
      <c r="BR102"/>
      <c r="BS102" s="187" t="str">
        <f t="shared" si="64"/>
        <v>X</v>
      </c>
      <c r="BT102" s="19" t="str">
        <f t="shared" si="65"/>
        <v>X</v>
      </c>
      <c r="BU102" s="19" t="str">
        <f t="shared" si="66"/>
        <v/>
      </c>
      <c r="BV102" s="10"/>
      <c r="BW102" s="5" t="str">
        <f t="shared" si="67"/>
        <v/>
      </c>
      <c r="BX102" s="5" t="str">
        <f t="shared" si="68"/>
        <v/>
      </c>
      <c r="BY102"/>
      <c r="BZ102" s="5" t="str">
        <f t="shared" si="69"/>
        <v>X</v>
      </c>
      <c r="CA102" s="5" t="str">
        <f t="shared" si="70"/>
        <v>X</v>
      </c>
      <c r="CB102" s="188" t="str">
        <f t="shared" si="71"/>
        <v/>
      </c>
    </row>
    <row r="103" spans="1:80" s="27" customFormat="1" ht="46" customHeight="1" x14ac:dyDescent="0.55000000000000004">
      <c r="A103" s="104">
        <v>99</v>
      </c>
      <c r="B103" s="104" t="s">
        <v>75</v>
      </c>
      <c r="C103" s="111" t="s">
        <v>1198</v>
      </c>
      <c r="D103" s="104" t="s">
        <v>1199</v>
      </c>
      <c r="E103" s="104" t="s">
        <v>1200</v>
      </c>
      <c r="F103" s="104" t="s">
        <v>1201</v>
      </c>
      <c r="G103" s="104" t="s">
        <v>88</v>
      </c>
      <c r="H103" s="104" t="s">
        <v>88</v>
      </c>
      <c r="I103" s="104"/>
      <c r="J103" s="104" t="s">
        <v>1202</v>
      </c>
      <c r="K103" s="104" t="s">
        <v>292</v>
      </c>
      <c r="L103" s="104"/>
      <c r="M103" s="104"/>
      <c r="N103" s="104"/>
      <c r="O103" s="104"/>
      <c r="P103" s="104"/>
      <c r="Q103" s="102"/>
      <c r="R103" s="104" t="s">
        <v>85</v>
      </c>
      <c r="S103" s="104" t="s">
        <v>345</v>
      </c>
      <c r="T103" s="104"/>
      <c r="U103" s="104" t="s">
        <v>108</v>
      </c>
      <c r="V103" s="104" t="s">
        <v>88</v>
      </c>
      <c r="W103" s="104" t="s">
        <v>1203</v>
      </c>
      <c r="X103" s="104" t="s">
        <v>1204</v>
      </c>
      <c r="Y103" s="104" t="s">
        <v>93</v>
      </c>
      <c r="Z103" s="104" t="s">
        <v>1205</v>
      </c>
      <c r="AA103" s="104" t="s">
        <v>93</v>
      </c>
      <c r="AB103" s="104" t="s">
        <v>93</v>
      </c>
      <c r="AC103" s="104" t="s">
        <v>93</v>
      </c>
      <c r="AD103" s="104" t="s">
        <v>93</v>
      </c>
      <c r="AE103"/>
      <c r="AF103" s="30" cm="1">
        <f t="array" ref="AF103">_xlfn.IFS(COUNTIF(Table14623576[[#This Row],[PBT/ vPvB]],"*X*"), 20, TRUE, "")</f>
        <v>20</v>
      </c>
      <c r="AG103" s="30" t="str" cm="1">
        <f t="array" ref="AG103">_xlfn.IFS(COUNTIF(Table14623576[[#This Row],[Perturbateur Endocrinien]],"*X*"), 20, TRUE, "")</f>
        <v/>
      </c>
      <c r="AH103" s="30" t="str" cm="1">
        <f t="array" ref="AH103">_xlfn.IFS(COUNTIF(Table14623576[[#This Row],[Phrases H]],"*H350*"), 20, TRUE, "")</f>
        <v/>
      </c>
      <c r="AI103" s="30" t="str" cm="1">
        <f t="array" ref="AI103">_xlfn.IFS(COUNTIF(Table14623576[[#This Row],[Phrases H]],"*H360*"), 20, TRUE, "")</f>
        <v/>
      </c>
      <c r="AJ103" s="30" t="str" cm="1">
        <f t="array" ref="AJ103">_xlfn.IFS(COUNTIF(Table14623576[[#This Row],[Phrases H]],"*H340*"), 20, TRUE, "")</f>
        <v/>
      </c>
      <c r="AK103" s="30" t="str" cm="1">
        <f t="array" ref="AK103">_xlfn.IFS(COUNTIF(Table14623576[[#This Row],[Phrases H]],"*H351*"), 10, TRUE, "")</f>
        <v/>
      </c>
      <c r="AL103" s="30" t="str" cm="1">
        <f t="array" ref="AL103">_xlfn.IFS(COUNTIF(Table14623576[[#This Row],[Phrases H]],"*H361*"), 10, TRUE, "")</f>
        <v/>
      </c>
      <c r="AM103" s="30" t="str" cm="1">
        <f t="array" ref="AM103">_xlfn.IFS(COUNTIF(Table14623576[[#This Row],[Phrases H]],"*H362*"), 10, TRUE, "")</f>
        <v/>
      </c>
      <c r="AN103" s="30" t="str" cm="1">
        <f t="array" ref="AN103">_xlfn.IFS(COUNTIF(Table14623576[[#This Row],[Phrases H]],"*H341*"), 10, TRUE, "")</f>
        <v/>
      </c>
      <c r="AO103" s="30" t="str" cm="1">
        <f t="array" ref="AO103">_xlfn.IFS(COUNTIF(Table14623576[[#This Row],[Phrases H]],"*H372*"), 10, TRUE, "")</f>
        <v/>
      </c>
      <c r="AP103" s="30" t="str" cm="1">
        <f t="array" ref="AP103">_xlfn.IFS(COUNTIF(Table14623576[[#This Row],[Phrases H]],"*H410*"), 10, TRUE, "")</f>
        <v/>
      </c>
      <c r="AQ103" s="30" t="str" cm="1">
        <f t="array" ref="AQ103">_xlfn.IFS(COUNTIF(Table14623576[[#This Row],[Phrases H]],"*H373*"), 5, TRUE, "")</f>
        <v/>
      </c>
      <c r="AR103" s="30" t="str" cm="1">
        <f t="array" ref="AR103">_xlfn.IFS(COUNTIF(Table14623576[[#This Row],[Phrases H]],"*H411*"), 5, TRUE, "")</f>
        <v/>
      </c>
      <c r="AS103" s="112">
        <f t="shared" si="53"/>
        <v>20</v>
      </c>
      <c r="AT103" s="113" t="s">
        <v>88</v>
      </c>
      <c r="AU103" s="113">
        <v>500</v>
      </c>
      <c r="AV103" s="114">
        <f t="shared" si="41"/>
        <v>30</v>
      </c>
      <c r="AW103" s="115">
        <f>IF(OR(AV103=30,AV103=40),10,IF(AV103=50,20,"0"))</f>
        <v>10</v>
      </c>
      <c r="AX103" s="116">
        <f t="shared" si="61"/>
        <v>30</v>
      </c>
      <c r="AY103" s="117">
        <f t="shared" si="62"/>
        <v>0.35294117647058826</v>
      </c>
      <c r="AZ103" s="118" t="str">
        <f t="shared" si="54"/>
        <v>4</v>
      </c>
      <c r="BA103" s="119" t="str">
        <f t="shared" si="63"/>
        <v>4</v>
      </c>
      <c r="BB103" s="32"/>
      <c r="BC103" s="113">
        <v>10000</v>
      </c>
      <c r="BD103" s="113" t="s">
        <v>97</v>
      </c>
      <c r="BE103" s="120">
        <f t="shared" si="59"/>
        <v>20</v>
      </c>
      <c r="BF103" s="121" t="str">
        <f t="shared" si="55"/>
        <v>Production élevée</v>
      </c>
      <c r="BG103" s="122" t="str">
        <f t="shared" si="56"/>
        <v>B</v>
      </c>
      <c r="BH103" s="32"/>
      <c r="BI103" s="7"/>
      <c r="BJ103" s="5">
        <v>0</v>
      </c>
      <c r="BK103" s="7"/>
      <c r="BL103" s="131">
        <v>0</v>
      </c>
      <c r="BM103" s="132" t="s">
        <v>99</v>
      </c>
      <c r="BN103"/>
      <c r="BO103" s="60" t="str">
        <f t="shared" si="58"/>
        <v>Catégorie 4B NON</v>
      </c>
      <c r="BP103"/>
      <c r="BQ103" s="42" t="s">
        <v>88</v>
      </c>
      <c r="BR103"/>
      <c r="BS103" s="187" t="str">
        <f t="shared" si="64"/>
        <v/>
      </c>
      <c r="BT103" s="19" t="str">
        <f t="shared" si="65"/>
        <v/>
      </c>
      <c r="BU103" s="19" t="str">
        <f t="shared" si="66"/>
        <v/>
      </c>
      <c r="BV103" s="10"/>
      <c r="BW103" s="5" t="str">
        <f t="shared" si="67"/>
        <v/>
      </c>
      <c r="BX103" s="5" t="str">
        <f t="shared" si="68"/>
        <v/>
      </c>
      <c r="BY103"/>
      <c r="BZ103" s="5" t="str">
        <f t="shared" si="69"/>
        <v/>
      </c>
      <c r="CA103" s="5" t="str">
        <f t="shared" si="70"/>
        <v/>
      </c>
      <c r="CB103" s="188" t="str">
        <f t="shared" si="71"/>
        <v/>
      </c>
    </row>
    <row r="104" spans="1:80" s="27" customFormat="1" ht="45" customHeight="1" x14ac:dyDescent="0.55000000000000004">
      <c r="A104" s="104">
        <v>100</v>
      </c>
      <c r="B104" s="104" t="s">
        <v>75</v>
      </c>
      <c r="C104" s="111" t="s">
        <v>1206</v>
      </c>
      <c r="D104" s="104" t="s">
        <v>1207</v>
      </c>
      <c r="E104" s="104" t="s">
        <v>1208</v>
      </c>
      <c r="F104" s="104" t="s">
        <v>1209</v>
      </c>
      <c r="G104" s="104" t="s">
        <v>1210</v>
      </c>
      <c r="H104" s="104" t="s">
        <v>1211</v>
      </c>
      <c r="I104" s="104" t="s">
        <v>512</v>
      </c>
      <c r="J104" s="104" t="s">
        <v>733</v>
      </c>
      <c r="K104" s="104" t="s">
        <v>84</v>
      </c>
      <c r="L104" s="104"/>
      <c r="M104" s="104"/>
      <c r="N104" s="104"/>
      <c r="O104" s="104"/>
      <c r="P104" s="104"/>
      <c r="Q104" s="102"/>
      <c r="R104" s="104"/>
      <c r="S104" s="104" t="s">
        <v>88</v>
      </c>
      <c r="T104" s="104"/>
      <c r="U104" s="104" t="s">
        <v>980</v>
      </c>
      <c r="V104" s="104" t="s">
        <v>88</v>
      </c>
      <c r="W104" s="104" t="s">
        <v>1212</v>
      </c>
      <c r="X104" s="104" t="s">
        <v>93</v>
      </c>
      <c r="Y104" s="104" t="s">
        <v>93</v>
      </c>
      <c r="Z104" s="104" t="s">
        <v>93</v>
      </c>
      <c r="AA104" s="104" t="s">
        <v>93</v>
      </c>
      <c r="AB104" s="104" t="s">
        <v>93</v>
      </c>
      <c r="AC104" s="104" t="s">
        <v>93</v>
      </c>
      <c r="AD104" s="104" t="s">
        <v>93</v>
      </c>
      <c r="AE104"/>
      <c r="AF104" s="30" t="str" cm="1">
        <f t="array" ref="AF104">_xlfn.IFS(COUNTIF(Table14623576[[#This Row],[PBT/ vPvB]],"*X*"), 20, TRUE, "")</f>
        <v/>
      </c>
      <c r="AG104" s="30" t="str" cm="1">
        <f t="array" ref="AG104">_xlfn.IFS(COUNTIF(Table14623576[[#This Row],[Perturbateur Endocrinien]],"*X*"), 20, TRUE, "")</f>
        <v/>
      </c>
      <c r="AH104" s="30" t="str" cm="1">
        <f t="array" ref="AH104">_xlfn.IFS(COUNTIF(Table14623576[[#This Row],[Phrases H]],"*H350*"), 20, TRUE, "")</f>
        <v/>
      </c>
      <c r="AI104" s="30" t="str" cm="1">
        <f t="array" ref="AI104">_xlfn.IFS(COUNTIF(Table14623576[[#This Row],[Phrases H]],"*H360*"), 20, TRUE, "")</f>
        <v/>
      </c>
      <c r="AJ104" s="30" t="str" cm="1">
        <f t="array" ref="AJ104">_xlfn.IFS(COUNTIF(Table14623576[[#This Row],[Phrases H]],"*H340*"), 20, TRUE, "")</f>
        <v/>
      </c>
      <c r="AK104" s="30" t="str" cm="1">
        <f t="array" ref="AK104">_xlfn.IFS(COUNTIF(Table14623576[[#This Row],[Phrases H]],"*H351*"), 10, TRUE, "")</f>
        <v/>
      </c>
      <c r="AL104" s="30" cm="1">
        <f t="array" ref="AL104">_xlfn.IFS(COUNTIF(Table14623576[[#This Row],[Phrases H]],"*H361*"), 10, TRUE, "")</f>
        <v>10</v>
      </c>
      <c r="AM104" s="30" t="str" cm="1">
        <f t="array" ref="AM104">_xlfn.IFS(COUNTIF(Table14623576[[#This Row],[Phrases H]],"*H362*"), 10, TRUE, "")</f>
        <v/>
      </c>
      <c r="AN104" s="30" t="str" cm="1">
        <f t="array" ref="AN104">_xlfn.IFS(COUNTIF(Table14623576[[#This Row],[Phrases H]],"*H341*"), 10, TRUE, "")</f>
        <v/>
      </c>
      <c r="AO104" s="30" t="str" cm="1">
        <f t="array" ref="AO104">_xlfn.IFS(COUNTIF(Table14623576[[#This Row],[Phrases H]],"*H372*"), 10, TRUE, "")</f>
        <v/>
      </c>
      <c r="AP104" s="30" t="str" cm="1">
        <f t="array" ref="AP104">_xlfn.IFS(COUNTIF(Table14623576[[#This Row],[Phrases H]],"*H410*"), 10, TRUE, "")</f>
        <v/>
      </c>
      <c r="AQ104" s="30" t="str" cm="1">
        <f t="array" ref="AQ104">_xlfn.IFS(COUNTIF(Table14623576[[#This Row],[Phrases H]],"*H373*"), 5, TRUE, "")</f>
        <v/>
      </c>
      <c r="AR104" s="30" t="str" cm="1">
        <f t="array" ref="AR104">_xlfn.IFS(COUNTIF(Table14623576[[#This Row],[Phrases H]],"*H411*"), 5, TRUE, "")</f>
        <v/>
      </c>
      <c r="AS104" s="112">
        <f t="shared" si="53"/>
        <v>10</v>
      </c>
      <c r="AT104" s="113" t="s">
        <v>88</v>
      </c>
      <c r="AU104" s="113">
        <f>AVERAGE(65.73,128.6)</f>
        <v>97.164999999999992</v>
      </c>
      <c r="AV104" s="114">
        <f t="shared" si="41"/>
        <v>30</v>
      </c>
      <c r="AW104" s="115">
        <f>IF(OR(AV104=30,AV104=40),10,IF(AV104=50,20,"0"))</f>
        <v>10</v>
      </c>
      <c r="AX104" s="116">
        <f t="shared" si="61"/>
        <v>20</v>
      </c>
      <c r="AY104" s="117">
        <f t="shared" si="62"/>
        <v>0.23529411764705882</v>
      </c>
      <c r="AZ104" s="118" t="str">
        <f t="shared" si="54"/>
        <v>4</v>
      </c>
      <c r="BA104" s="119" t="str">
        <f t="shared" si="63"/>
        <v>4</v>
      </c>
      <c r="BB104" s="32"/>
      <c r="BC104" s="113">
        <v>1000</v>
      </c>
      <c r="BD104" s="113" t="s">
        <v>97</v>
      </c>
      <c r="BE104" s="120">
        <f t="shared" si="59"/>
        <v>15</v>
      </c>
      <c r="BF104" s="121" t="str">
        <f t="shared" si="55"/>
        <v>Production modérée</v>
      </c>
      <c r="BG104" s="122" t="str">
        <f t="shared" si="56"/>
        <v>C</v>
      </c>
      <c r="BH104" s="32"/>
      <c r="BI104" s="7"/>
      <c r="BJ104" s="5">
        <v>0</v>
      </c>
      <c r="BK104" s="7"/>
      <c r="BL104" s="131">
        <v>0</v>
      </c>
      <c r="BM104" s="132" t="s">
        <v>99</v>
      </c>
      <c r="BN104"/>
      <c r="BO104" s="60" t="str">
        <f t="shared" si="58"/>
        <v>Catégorie 4C NON</v>
      </c>
      <c r="BP104"/>
      <c r="BQ104" s="42" t="s">
        <v>88</v>
      </c>
      <c r="BR104"/>
      <c r="BS104" s="187" t="str">
        <f t="shared" si="64"/>
        <v/>
      </c>
      <c r="BT104" s="19" t="str">
        <f t="shared" si="65"/>
        <v/>
      </c>
      <c r="BU104" s="19" t="str">
        <f t="shared" si="66"/>
        <v/>
      </c>
      <c r="BV104" s="10"/>
      <c r="BW104" s="5" t="str">
        <f t="shared" si="67"/>
        <v/>
      </c>
      <c r="BX104" s="5" t="str">
        <f t="shared" si="68"/>
        <v/>
      </c>
      <c r="BY104"/>
      <c r="BZ104" s="5" t="str">
        <f t="shared" si="69"/>
        <v/>
      </c>
      <c r="CA104" s="5" t="str">
        <f t="shared" si="70"/>
        <v/>
      </c>
      <c r="CB104" s="188" t="str">
        <f t="shared" si="71"/>
        <v/>
      </c>
    </row>
    <row r="105" spans="1:80" s="27" customFormat="1" ht="47.15" customHeight="1" x14ac:dyDescent="0.55000000000000004">
      <c r="A105" s="104">
        <v>101</v>
      </c>
      <c r="B105" s="104" t="s">
        <v>75</v>
      </c>
      <c r="C105" s="111" t="s">
        <v>1213</v>
      </c>
      <c r="D105" s="104" t="s">
        <v>1214</v>
      </c>
      <c r="E105" s="104" t="s">
        <v>1215</v>
      </c>
      <c r="F105" s="104" t="s">
        <v>1216</v>
      </c>
      <c r="G105" s="104" t="s">
        <v>88</v>
      </c>
      <c r="H105" s="104" t="s">
        <v>88</v>
      </c>
      <c r="I105" s="104" t="s">
        <v>605</v>
      </c>
      <c r="J105" s="104" t="s">
        <v>1217</v>
      </c>
      <c r="K105" s="104" t="s">
        <v>84</v>
      </c>
      <c r="L105" s="104"/>
      <c r="M105" s="104"/>
      <c r="N105" s="104"/>
      <c r="O105" s="104"/>
      <c r="P105" s="104"/>
      <c r="Q105" s="102"/>
      <c r="R105" s="104"/>
      <c r="S105" s="104" t="s">
        <v>345</v>
      </c>
      <c r="T105" s="104"/>
      <c r="U105" s="104" t="s">
        <v>1218</v>
      </c>
      <c r="V105" s="104" t="s">
        <v>88</v>
      </c>
      <c r="W105" s="104" t="s">
        <v>1219</v>
      </c>
      <c r="X105" s="104" t="s">
        <v>1220</v>
      </c>
      <c r="Y105" s="104" t="s">
        <v>1221</v>
      </c>
      <c r="Z105" s="104" t="s">
        <v>1222</v>
      </c>
      <c r="AA105" s="104">
        <v>25</v>
      </c>
      <c r="AB105" s="104" t="s">
        <v>228</v>
      </c>
      <c r="AC105" s="104" t="s">
        <v>1223</v>
      </c>
      <c r="AD105" s="104" t="s">
        <v>1224</v>
      </c>
      <c r="AE105"/>
      <c r="AF105" s="30" t="str" cm="1">
        <f t="array" ref="AF105">_xlfn.IFS(COUNTIF(Table14623576[[#This Row],[PBT/ vPvB]],"*X*"), 20, TRUE, "")</f>
        <v/>
      </c>
      <c r="AG105" s="30" t="str" cm="1">
        <f t="array" ref="AG105">_xlfn.IFS(COUNTIF(Table14623576[[#This Row],[Perturbateur Endocrinien]],"*X*"), 20, TRUE, "")</f>
        <v/>
      </c>
      <c r="AH105" s="30" t="str" cm="1">
        <f t="array" ref="AH105">_xlfn.IFS(COUNTIF(Table14623576[[#This Row],[Phrases H]],"*H350*"), 20, TRUE, "")</f>
        <v/>
      </c>
      <c r="AI105" s="30" t="str" cm="1">
        <f t="array" ref="AI105">_xlfn.IFS(COUNTIF(Table14623576[[#This Row],[Phrases H]],"*H360*"), 20, TRUE, "")</f>
        <v/>
      </c>
      <c r="AJ105" s="30" t="str" cm="1">
        <f t="array" ref="AJ105">_xlfn.IFS(COUNTIF(Table14623576[[#This Row],[Phrases H]],"*H340*"), 20, TRUE, "")</f>
        <v/>
      </c>
      <c r="AK105" s="30" t="str" cm="1">
        <f t="array" ref="AK105">_xlfn.IFS(COUNTIF(Table14623576[[#This Row],[Phrases H]],"*H351*"), 10, TRUE, "")</f>
        <v/>
      </c>
      <c r="AL105" s="30" t="str" cm="1">
        <f t="array" ref="AL105">_xlfn.IFS(COUNTIF(Table14623576[[#This Row],[Phrases H]],"*H361*"), 10, TRUE, "")</f>
        <v/>
      </c>
      <c r="AM105" s="30" t="str" cm="1">
        <f t="array" ref="AM105">_xlfn.IFS(COUNTIF(Table14623576[[#This Row],[Phrases H]],"*H362*"), 10, TRUE, "")</f>
        <v/>
      </c>
      <c r="AN105" s="30" t="str" cm="1">
        <f t="array" ref="AN105">_xlfn.IFS(COUNTIF(Table14623576[[#This Row],[Phrases H]],"*H341*"), 10, TRUE, "")</f>
        <v/>
      </c>
      <c r="AO105" s="30" cm="1">
        <f t="array" ref="AO105">_xlfn.IFS(COUNTIF(Table14623576[[#This Row],[Phrases H]],"*H372*"), 10, TRUE, "")</f>
        <v>10</v>
      </c>
      <c r="AP105" s="30" cm="1">
        <f t="array" ref="AP105">_xlfn.IFS(COUNTIF(Table14623576[[#This Row],[Phrases H]],"*H410*"), 10, TRUE, "")</f>
        <v>10</v>
      </c>
      <c r="AQ105" s="30" t="str" cm="1">
        <f t="array" ref="AQ105">_xlfn.IFS(COUNTIF(Table14623576[[#This Row],[Phrases H]],"*H373*"), 5, TRUE, "")</f>
        <v/>
      </c>
      <c r="AR105" s="30" t="str" cm="1">
        <f t="array" ref="AR105">_xlfn.IFS(COUNTIF(Table14623576[[#This Row],[Phrases H]],"*H411*"), 5, TRUE, "")</f>
        <v/>
      </c>
      <c r="AS105" s="112">
        <f t="shared" si="53"/>
        <v>20</v>
      </c>
      <c r="AT105" s="113" t="s">
        <v>228</v>
      </c>
      <c r="AU105" s="113">
        <v>19</v>
      </c>
      <c r="AV105" s="114">
        <f t="shared" si="41"/>
        <v>30</v>
      </c>
      <c r="AW105" s="115" t="str">
        <f t="shared" ref="AW105:AW121" si="72">IF(AT105="0","0",IF(AT105&lt;2,"20",IF(AT105&lt;3,"10","0")))</f>
        <v>0</v>
      </c>
      <c r="AX105" s="116">
        <f t="shared" si="61"/>
        <v>20</v>
      </c>
      <c r="AY105" s="117">
        <f t="shared" si="62"/>
        <v>0.23529411764705882</v>
      </c>
      <c r="AZ105" s="118" t="str">
        <f t="shared" si="54"/>
        <v>4</v>
      </c>
      <c r="BA105" s="119" t="str">
        <f t="shared" si="63"/>
        <v>4</v>
      </c>
      <c r="BB105" s="32"/>
      <c r="BC105" s="113">
        <v>1000</v>
      </c>
      <c r="BD105" s="113" t="s">
        <v>97</v>
      </c>
      <c r="BE105" s="120">
        <f t="shared" si="59"/>
        <v>15</v>
      </c>
      <c r="BF105" s="121" t="str">
        <f t="shared" si="55"/>
        <v>Production modérée</v>
      </c>
      <c r="BG105" s="122" t="str">
        <f t="shared" si="56"/>
        <v>C</v>
      </c>
      <c r="BH105" s="32"/>
      <c r="BI105" s="7"/>
      <c r="BJ105" s="5">
        <v>0</v>
      </c>
      <c r="BK105" s="7"/>
      <c r="BL105" s="131">
        <v>0</v>
      </c>
      <c r="BM105" s="132" t="s">
        <v>99</v>
      </c>
      <c r="BN105"/>
      <c r="BO105" s="60" t="str">
        <f t="shared" si="58"/>
        <v>Catégorie 4C NON</v>
      </c>
      <c r="BP105"/>
      <c r="BQ105" s="42" t="s">
        <v>88</v>
      </c>
      <c r="BR105"/>
      <c r="BS105" s="187" t="str">
        <f t="shared" si="64"/>
        <v/>
      </c>
      <c r="BT105" s="19" t="str">
        <f t="shared" si="65"/>
        <v/>
      </c>
      <c r="BU105" s="19" t="str">
        <f t="shared" si="66"/>
        <v/>
      </c>
      <c r="BV105" s="10"/>
      <c r="BW105" s="5" t="str">
        <f t="shared" si="67"/>
        <v/>
      </c>
      <c r="BX105" s="5" t="str">
        <f t="shared" si="68"/>
        <v/>
      </c>
      <c r="BY105"/>
      <c r="BZ105" s="5" t="str">
        <f t="shared" si="69"/>
        <v/>
      </c>
      <c r="CA105" s="5" t="str">
        <f t="shared" si="70"/>
        <v/>
      </c>
      <c r="CB105" s="188" t="str">
        <f t="shared" si="71"/>
        <v/>
      </c>
    </row>
    <row r="106" spans="1:80" s="22" customFormat="1" ht="105.65" customHeight="1" x14ac:dyDescent="0.55000000000000004">
      <c r="A106" s="141">
        <v>1</v>
      </c>
      <c r="B106" s="104" t="s">
        <v>1225</v>
      </c>
      <c r="C106" s="141" t="s">
        <v>1226</v>
      </c>
      <c r="D106" s="141" t="s">
        <v>1227</v>
      </c>
      <c r="E106" s="141" t="s">
        <v>1228</v>
      </c>
      <c r="F106" s="141" t="s">
        <v>1229</v>
      </c>
      <c r="G106" s="141" t="s">
        <v>1230</v>
      </c>
      <c r="H106" s="141" t="s">
        <v>1231</v>
      </c>
      <c r="I106" s="141" t="s">
        <v>88</v>
      </c>
      <c r="J106" s="141" t="s">
        <v>88</v>
      </c>
      <c r="K106" s="142" t="s">
        <v>1232</v>
      </c>
      <c r="L106" s="142"/>
      <c r="M106" s="142"/>
      <c r="N106" s="142" t="s">
        <v>85</v>
      </c>
      <c r="O106" s="142" t="s">
        <v>85</v>
      </c>
      <c r="P106" s="142"/>
      <c r="Q106" s="142" t="s">
        <v>85</v>
      </c>
      <c r="R106" s="142" t="s">
        <v>85</v>
      </c>
      <c r="S106" s="142" t="s">
        <v>1233</v>
      </c>
      <c r="T106" s="142" t="s">
        <v>85</v>
      </c>
      <c r="U106" s="142" t="s">
        <v>1234</v>
      </c>
      <c r="V106" s="142" t="s">
        <v>173</v>
      </c>
      <c r="W106" s="142" t="s">
        <v>1235</v>
      </c>
      <c r="X106" s="142" t="s">
        <v>1236</v>
      </c>
      <c r="Y106" s="142" t="s">
        <v>1237</v>
      </c>
      <c r="Z106" s="142">
        <v>3.4</v>
      </c>
      <c r="AA106" s="142" t="s">
        <v>1238</v>
      </c>
      <c r="AB106" s="143">
        <f>LOG(720)</f>
        <v>2.8573324964312685</v>
      </c>
      <c r="AC106" s="142" t="s">
        <v>1239</v>
      </c>
      <c r="AD106" s="142" t="s">
        <v>1240</v>
      </c>
      <c r="AE106" s="1"/>
      <c r="AF106" s="30" cm="1">
        <f t="array" ref="AF106">_xlfn.IFS(COUNTIF(Table14623576[[#This Row],[PBT/ vPvB]],"*X*"), 20, TRUE, "")</f>
        <v>20</v>
      </c>
      <c r="AG106" s="30" cm="1">
        <f t="array" ref="AG106">_xlfn.IFS(COUNTIF(Table14623576[[#This Row],[Perturbateur Endocrinien]],"*X*"), 20, TRUE, "")</f>
        <v>20</v>
      </c>
      <c r="AH106" s="30" t="str" cm="1">
        <f t="array" ref="AH106">_xlfn.IFS(COUNTIF(Table14623576[[#This Row],[Phrases H]],"*H350*"), 20, TRUE, "")</f>
        <v/>
      </c>
      <c r="AI106" s="30" cm="1">
        <f t="array" ref="AI106">_xlfn.IFS(COUNTIF(Table14623576[[#This Row],[Phrases H]],"*H360*"), 20, TRUE, "")</f>
        <v>20</v>
      </c>
      <c r="AJ106" s="30" t="str" cm="1">
        <f t="array" ref="AJ106">_xlfn.IFS(COUNTIF(Table14623576[[#This Row],[Phrases H]],"*H340*"), 20, TRUE, "")</f>
        <v/>
      </c>
      <c r="AK106" s="30" t="str" cm="1">
        <f t="array" ref="AK106">_xlfn.IFS(COUNTIF(Table14623576[[#This Row],[Phrases H]],"*H351*"), 10, TRUE, "")</f>
        <v/>
      </c>
      <c r="AL106" s="30" t="str" cm="1">
        <f t="array" ref="AL106">_xlfn.IFS(COUNTIF(Table14623576[[#This Row],[Phrases H]],"*H361*"), 10, TRUE, "")</f>
        <v/>
      </c>
      <c r="AM106" s="30" t="str" cm="1">
        <f t="array" ref="AM106">_xlfn.IFS(COUNTIF(Table14623576[[#This Row],[Phrases H]],"*H362*"), 10, TRUE, "")</f>
        <v/>
      </c>
      <c r="AN106" s="30" t="str" cm="1">
        <f t="array" ref="AN106">_xlfn.IFS(COUNTIF(Table14623576[[#This Row],[Phrases H]],"*H341*"), 10, TRUE, "")</f>
        <v/>
      </c>
      <c r="AO106" s="30" t="str" cm="1">
        <f t="array" ref="AO106">_xlfn.IFS(COUNTIF(Table14623576[[#This Row],[Phrases H]],"*H372*"), 10, TRUE, "")</f>
        <v/>
      </c>
      <c r="AP106" s="30" cm="1">
        <f t="array" ref="AP106">_xlfn.IFS(COUNTIF(Table14623576[[#This Row],[Phrases H]],"*H410*"), 10, TRUE, "")</f>
        <v>10</v>
      </c>
      <c r="AQ106" s="30" t="str" cm="1">
        <f t="array" ref="AQ106">_xlfn.IFS(COUNTIF(Table14623576[[#This Row],[Phrases H]],"*H373*"), 5, TRUE, "")</f>
        <v/>
      </c>
      <c r="AR106" s="30" t="str" cm="1">
        <f t="array" ref="AR106">_xlfn.IFS(COUNTIF(Table14623576[[#This Row],[Phrases H]],"*H411*"), 5, TRUE, "")</f>
        <v/>
      </c>
      <c r="AS106" s="112">
        <f t="shared" si="53"/>
        <v>70</v>
      </c>
      <c r="AT106" s="144">
        <v>2.8573324964312685</v>
      </c>
      <c r="AU106" s="144">
        <v>300</v>
      </c>
      <c r="AV106" s="114">
        <f t="shared" si="41"/>
        <v>30</v>
      </c>
      <c r="AW106" s="115" t="str">
        <f t="shared" si="72"/>
        <v>10</v>
      </c>
      <c r="AX106" s="116">
        <f t="shared" si="61"/>
        <v>80</v>
      </c>
      <c r="AY106" s="117">
        <f t="shared" si="62"/>
        <v>0.94117647058823528</v>
      </c>
      <c r="AZ106" s="118" t="str">
        <f t="shared" si="54"/>
        <v>1</v>
      </c>
      <c r="BA106" s="119" t="str">
        <f t="shared" si="63"/>
        <v>1</v>
      </c>
      <c r="BB106" s="145"/>
      <c r="BC106" s="144">
        <v>1000000</v>
      </c>
      <c r="BD106" s="113" t="s">
        <v>97</v>
      </c>
      <c r="BE106" s="120">
        <f t="shared" si="59"/>
        <v>25</v>
      </c>
      <c r="BF106" s="121" t="str">
        <f t="shared" si="55"/>
        <v>Production très élevée</v>
      </c>
      <c r="BG106" s="122" t="str">
        <f t="shared" si="56"/>
        <v>A</v>
      </c>
      <c r="BH106" s="145"/>
      <c r="BI106" s="7" t="s">
        <v>1241</v>
      </c>
      <c r="BJ106" s="133">
        <v>6</v>
      </c>
      <c r="BK106" s="7" t="s">
        <v>1241</v>
      </c>
      <c r="BL106" s="131">
        <v>6</v>
      </c>
      <c r="BM106" s="132" t="s">
        <v>131</v>
      </c>
      <c r="BN106"/>
      <c r="BO106" s="60" t="str">
        <f t="shared" si="58"/>
        <v>Catégorie 1A OUI</v>
      </c>
      <c r="BP106"/>
      <c r="BQ106" s="146" t="s">
        <v>150</v>
      </c>
      <c r="BR106"/>
      <c r="BS106" s="187" t="str">
        <f t="shared" si="64"/>
        <v>X</v>
      </c>
      <c r="BT106" s="19" t="str">
        <f t="shared" si="65"/>
        <v>X</v>
      </c>
      <c r="BU106" s="19" t="str">
        <f t="shared" si="66"/>
        <v>X</v>
      </c>
      <c r="BV106" s="10"/>
      <c r="BW106" s="5" t="str">
        <f t="shared" si="67"/>
        <v/>
      </c>
      <c r="BX106" s="5" t="str">
        <f t="shared" si="68"/>
        <v>X</v>
      </c>
      <c r="BY106"/>
      <c r="BZ106" s="5" t="str">
        <f t="shared" si="69"/>
        <v>X</v>
      </c>
      <c r="CA106" s="5" t="str">
        <f t="shared" si="70"/>
        <v>X</v>
      </c>
      <c r="CB106" s="188" t="str">
        <f t="shared" si="71"/>
        <v>X</v>
      </c>
    </row>
    <row r="107" spans="1:80" s="22" customFormat="1" ht="45.65" customHeight="1" x14ac:dyDescent="0.55000000000000004">
      <c r="A107" s="141">
        <v>2</v>
      </c>
      <c r="B107" s="104" t="s">
        <v>1225</v>
      </c>
      <c r="C107" s="141" t="s">
        <v>1242</v>
      </c>
      <c r="D107" s="141" t="s">
        <v>1243</v>
      </c>
      <c r="E107" s="141" t="s">
        <v>1244</v>
      </c>
      <c r="F107" s="141" t="s">
        <v>1245</v>
      </c>
      <c r="G107" s="141" t="s">
        <v>1246</v>
      </c>
      <c r="H107" s="141" t="s">
        <v>1247</v>
      </c>
      <c r="I107" s="141" t="s">
        <v>88</v>
      </c>
      <c r="J107" s="141" t="s">
        <v>88</v>
      </c>
      <c r="K107" s="142" t="s">
        <v>88</v>
      </c>
      <c r="L107" s="142"/>
      <c r="M107" s="142"/>
      <c r="N107" s="142"/>
      <c r="O107" s="142" t="s">
        <v>85</v>
      </c>
      <c r="P107" s="142"/>
      <c r="Q107" s="142"/>
      <c r="R107" s="142"/>
      <c r="S107" s="142" t="s">
        <v>88</v>
      </c>
      <c r="T107" s="142" t="s">
        <v>85</v>
      </c>
      <c r="U107" s="142" t="s">
        <v>1248</v>
      </c>
      <c r="V107" s="142" t="s">
        <v>88</v>
      </c>
      <c r="W107" s="142" t="s">
        <v>1249</v>
      </c>
      <c r="X107" s="142" t="s">
        <v>1250</v>
      </c>
      <c r="Y107" s="142" t="s">
        <v>1251</v>
      </c>
      <c r="Z107" s="142">
        <v>3.94</v>
      </c>
      <c r="AA107" s="142"/>
      <c r="AB107" s="143">
        <f>LOG(6610)</f>
        <v>3.8202014594856402</v>
      </c>
      <c r="AC107" s="142" t="s">
        <v>1252</v>
      </c>
      <c r="AD107" s="142" t="s">
        <v>1253</v>
      </c>
      <c r="AE107" s="1"/>
      <c r="AF107" s="30" t="str" cm="1">
        <f t="array" ref="AF107">_xlfn.IFS(COUNTIF(Table14623576[[#This Row],[PBT/ vPvB]],"*X*"), 20, TRUE, "")</f>
        <v/>
      </c>
      <c r="AG107" s="30" cm="1">
        <f t="array" ref="AG107">_xlfn.IFS(COUNTIF(Table14623576[[#This Row],[Perturbateur Endocrinien]],"*X*"), 20, TRUE, "")</f>
        <v>20</v>
      </c>
      <c r="AH107" s="30" t="str" cm="1">
        <f t="array" ref="AH107">_xlfn.IFS(COUNTIF(Table14623576[[#This Row],[Phrases H]],"*H350*"), 20, TRUE, "")</f>
        <v/>
      </c>
      <c r="AI107" s="30" t="str" cm="1">
        <f t="array" ref="AI107">_xlfn.IFS(COUNTIF(Table14623576[[#This Row],[Phrases H]],"*H360*"), 20, TRUE, "")</f>
        <v/>
      </c>
      <c r="AJ107" s="30" t="str" cm="1">
        <f t="array" ref="AJ107">_xlfn.IFS(COUNTIF(Table14623576[[#This Row],[Phrases H]],"*H340*"), 20, TRUE, "")</f>
        <v/>
      </c>
      <c r="AK107" s="30" t="str" cm="1">
        <f t="array" ref="AK107">_xlfn.IFS(COUNTIF(Table14623576[[#This Row],[Phrases H]],"*H351*"), 10, TRUE, "")</f>
        <v/>
      </c>
      <c r="AL107" s="30" t="str" cm="1">
        <f t="array" ref="AL107">_xlfn.IFS(COUNTIF(Table14623576[[#This Row],[Phrases H]],"*H361*"), 10, TRUE, "")</f>
        <v/>
      </c>
      <c r="AM107" s="30" t="str" cm="1">
        <f t="array" ref="AM107">_xlfn.IFS(COUNTIF(Table14623576[[#This Row],[Phrases H]],"*H362*"), 10, TRUE, "")</f>
        <v/>
      </c>
      <c r="AN107" s="30" t="str" cm="1">
        <f t="array" ref="AN107">_xlfn.IFS(COUNTIF(Table14623576[[#This Row],[Phrases H]],"*H341*"), 10, TRUE, "")</f>
        <v/>
      </c>
      <c r="AO107" s="30" t="str" cm="1">
        <f t="array" ref="AO107">_xlfn.IFS(COUNTIF(Table14623576[[#This Row],[Phrases H]],"*H372*"), 10, TRUE, "")</f>
        <v/>
      </c>
      <c r="AP107" s="30" t="str" cm="1">
        <f t="array" ref="AP107">_xlfn.IFS(COUNTIF(Table14623576[[#This Row],[Phrases H]],"*H410*"), 10, TRUE, "")</f>
        <v/>
      </c>
      <c r="AQ107" s="30" t="str" cm="1">
        <f t="array" ref="AQ107">_xlfn.IFS(COUNTIF(Table14623576[[#This Row],[Phrases H]],"*H373*"), 5, TRUE, "")</f>
        <v/>
      </c>
      <c r="AR107" s="30" t="str" cm="1">
        <f t="array" ref="AR107">_xlfn.IFS(COUNTIF(Table14623576[[#This Row],[Phrases H]],"*H411*"), 5, TRUE, "")</f>
        <v/>
      </c>
      <c r="AS107" s="112">
        <f t="shared" si="53"/>
        <v>20</v>
      </c>
      <c r="AT107" s="144">
        <v>3.8202014594856402</v>
      </c>
      <c r="AU107" s="144">
        <v>57.91</v>
      </c>
      <c r="AV107" s="114">
        <f t="shared" si="41"/>
        <v>30</v>
      </c>
      <c r="AW107" s="115" t="str">
        <f t="shared" si="72"/>
        <v>0</v>
      </c>
      <c r="AX107" s="116">
        <f t="shared" si="61"/>
        <v>20</v>
      </c>
      <c r="AY107" s="117">
        <f t="shared" si="62"/>
        <v>0.23529411764705882</v>
      </c>
      <c r="AZ107" s="118" t="str">
        <f t="shared" si="54"/>
        <v>4</v>
      </c>
      <c r="BA107" s="119" t="str">
        <f t="shared" si="63"/>
        <v>4</v>
      </c>
      <c r="BB107" s="145"/>
      <c r="BC107" s="144" t="s">
        <v>88</v>
      </c>
      <c r="BD107" s="113" t="s">
        <v>97</v>
      </c>
      <c r="BE107" s="120">
        <f t="shared" si="59"/>
        <v>0</v>
      </c>
      <c r="BF107" s="121" t="str">
        <f t="shared" si="55"/>
        <v>N/A</v>
      </c>
      <c r="BG107" s="122" t="str">
        <f t="shared" si="56"/>
        <v>E</v>
      </c>
      <c r="BH107" s="145"/>
      <c r="BI107" s="7"/>
      <c r="BJ107" s="130">
        <v>0</v>
      </c>
      <c r="BK107" s="7"/>
      <c r="BL107" s="131">
        <v>0</v>
      </c>
      <c r="BM107" s="132" t="s">
        <v>99</v>
      </c>
      <c r="BN107"/>
      <c r="BO107" s="60" t="str">
        <f t="shared" si="58"/>
        <v>Catégorie 4E NON</v>
      </c>
      <c r="BP107"/>
      <c r="BQ107" s="146" t="s">
        <v>88</v>
      </c>
      <c r="BR107"/>
      <c r="BS107" s="187" t="str">
        <f t="shared" si="64"/>
        <v/>
      </c>
      <c r="BT107" s="19" t="str">
        <f t="shared" si="65"/>
        <v/>
      </c>
      <c r="BU107" s="19" t="str">
        <f t="shared" si="66"/>
        <v/>
      </c>
      <c r="BV107" s="10"/>
      <c r="BW107" s="5" t="str">
        <f t="shared" si="67"/>
        <v>X</v>
      </c>
      <c r="BX107" s="5" t="str">
        <f t="shared" si="68"/>
        <v/>
      </c>
      <c r="BY107"/>
      <c r="BZ107" s="5" t="str">
        <f t="shared" si="69"/>
        <v/>
      </c>
      <c r="CA107" s="5" t="str">
        <f t="shared" si="70"/>
        <v/>
      </c>
      <c r="CB107" s="188" t="str">
        <f t="shared" si="71"/>
        <v/>
      </c>
    </row>
    <row r="108" spans="1:80" s="22" customFormat="1" ht="45" customHeight="1" x14ac:dyDescent="0.55000000000000004">
      <c r="A108" s="141">
        <v>3</v>
      </c>
      <c r="B108" s="104" t="s">
        <v>1225</v>
      </c>
      <c r="C108" s="141" t="s">
        <v>1254</v>
      </c>
      <c r="D108" s="141" t="s">
        <v>1255</v>
      </c>
      <c r="E108" s="141" t="s">
        <v>1256</v>
      </c>
      <c r="F108" s="141" t="s">
        <v>1257</v>
      </c>
      <c r="G108" s="141" t="s">
        <v>1258</v>
      </c>
      <c r="H108" s="141" t="s">
        <v>1259</v>
      </c>
      <c r="I108" s="141" t="s">
        <v>88</v>
      </c>
      <c r="J108" s="141" t="s">
        <v>88</v>
      </c>
      <c r="K108" s="142" t="s">
        <v>1260</v>
      </c>
      <c r="L108" s="142"/>
      <c r="M108" s="142"/>
      <c r="N108" s="142"/>
      <c r="O108" s="142" t="s">
        <v>85</v>
      </c>
      <c r="P108" s="142"/>
      <c r="Q108" s="142"/>
      <c r="R108" s="142"/>
      <c r="S108" s="142" t="s">
        <v>869</v>
      </c>
      <c r="T108" s="142" t="s">
        <v>85</v>
      </c>
      <c r="U108" s="142" t="s">
        <v>56</v>
      </c>
      <c r="V108" s="142" t="s">
        <v>122</v>
      </c>
      <c r="W108" s="142" t="s">
        <v>1261</v>
      </c>
      <c r="X108" s="142" t="s">
        <v>1262</v>
      </c>
      <c r="Y108" s="142" t="s">
        <v>1263</v>
      </c>
      <c r="Z108" s="142">
        <v>1.2</v>
      </c>
      <c r="AA108" s="142" t="s">
        <v>1264</v>
      </c>
      <c r="AB108" s="143">
        <v>2.82</v>
      </c>
      <c r="AC108" s="142" t="s">
        <v>1265</v>
      </c>
      <c r="AD108" s="142" t="s">
        <v>1266</v>
      </c>
      <c r="AE108" s="1"/>
      <c r="AF108" s="30" t="str" cm="1">
        <f t="array" ref="AF108">_xlfn.IFS(COUNTIF(Table14623576[[#This Row],[PBT/ vPvB]],"*X*"), 20, TRUE, "")</f>
        <v/>
      </c>
      <c r="AG108" s="30" cm="1">
        <f t="array" ref="AG108">_xlfn.IFS(COUNTIF(Table14623576[[#This Row],[Perturbateur Endocrinien]],"*X*"), 20, TRUE, "")</f>
        <v>20</v>
      </c>
      <c r="AH108" s="30" t="str" cm="1">
        <f t="array" ref="AH108">_xlfn.IFS(COUNTIF(Table14623576[[#This Row],[Phrases H]],"*H350*"), 20, TRUE, "")</f>
        <v/>
      </c>
      <c r="AI108" s="30" cm="1">
        <f t="array" ref="AI108">_xlfn.IFS(COUNTIF(Table14623576[[#This Row],[Phrases H]],"*H360*"), 20, TRUE, "")</f>
        <v>20</v>
      </c>
      <c r="AJ108" s="30" t="str" cm="1">
        <f t="array" ref="AJ108">_xlfn.IFS(COUNTIF(Table14623576[[#This Row],[Phrases H]],"*H340*"), 20, TRUE, "")</f>
        <v/>
      </c>
      <c r="AK108" s="30" t="str" cm="1">
        <f t="array" ref="AK108">_xlfn.IFS(COUNTIF(Table14623576[[#This Row],[Phrases H]],"*H351*"), 10, TRUE, "")</f>
        <v/>
      </c>
      <c r="AL108" s="30" t="str" cm="1">
        <f t="array" ref="AL108">_xlfn.IFS(COUNTIF(Table14623576[[#This Row],[Phrases H]],"*H361*"), 10, TRUE, "")</f>
        <v/>
      </c>
      <c r="AM108" s="30" t="str" cm="1">
        <f t="array" ref="AM108">_xlfn.IFS(COUNTIF(Table14623576[[#This Row],[Phrases H]],"*H362*"), 10, TRUE, "")</f>
        <v/>
      </c>
      <c r="AN108" s="30" t="str" cm="1">
        <f t="array" ref="AN108">_xlfn.IFS(COUNTIF(Table14623576[[#This Row],[Phrases H]],"*H341*"), 10, TRUE, "")</f>
        <v/>
      </c>
      <c r="AO108" s="30" t="str" cm="1">
        <f t="array" ref="AO108">_xlfn.IFS(COUNTIF(Table14623576[[#This Row],[Phrases H]],"*H372*"), 10, TRUE, "")</f>
        <v/>
      </c>
      <c r="AP108" s="30" t="str" cm="1">
        <f t="array" ref="AP108">_xlfn.IFS(COUNTIF(Table14623576[[#This Row],[Phrases H]],"*H410*"), 10, TRUE, "")</f>
        <v/>
      </c>
      <c r="AQ108" s="30" t="str" cm="1">
        <f t="array" ref="AQ108">_xlfn.IFS(COUNTIF(Table14623576[[#This Row],[Phrases H]],"*H373*"), 5, TRUE, "")</f>
        <v/>
      </c>
      <c r="AR108" s="30" t="str" cm="1">
        <f t="array" ref="AR108">_xlfn.IFS(COUNTIF(Table14623576[[#This Row],[Phrases H]],"*H411*"), 5, TRUE, "")</f>
        <v/>
      </c>
      <c r="AS108" s="112">
        <f t="shared" si="53"/>
        <v>40</v>
      </c>
      <c r="AT108" s="144">
        <v>2.82</v>
      </c>
      <c r="AU108" s="144">
        <v>715</v>
      </c>
      <c r="AV108" s="114">
        <f t="shared" si="41"/>
        <v>30</v>
      </c>
      <c r="AW108" s="115" t="str">
        <f t="shared" si="72"/>
        <v>10</v>
      </c>
      <c r="AX108" s="116">
        <f t="shared" si="61"/>
        <v>50</v>
      </c>
      <c r="AY108" s="117">
        <f t="shared" si="62"/>
        <v>0.58823529411764708</v>
      </c>
      <c r="AZ108" s="118" t="str">
        <f t="shared" si="54"/>
        <v>3</v>
      </c>
      <c r="BA108" s="119" t="str">
        <f t="shared" si="63"/>
        <v>3</v>
      </c>
      <c r="BB108" s="145"/>
      <c r="BC108" s="144">
        <v>10000</v>
      </c>
      <c r="BD108" s="113" t="s">
        <v>97</v>
      </c>
      <c r="BE108" s="120">
        <f t="shared" si="59"/>
        <v>20</v>
      </c>
      <c r="BF108" s="121" t="str">
        <f t="shared" si="55"/>
        <v>Production élevée</v>
      </c>
      <c r="BG108" s="122" t="str">
        <f t="shared" si="56"/>
        <v>B</v>
      </c>
      <c r="BH108" s="145"/>
      <c r="BI108" s="7" t="s">
        <v>1267</v>
      </c>
      <c r="BJ108" s="130">
        <v>2</v>
      </c>
      <c r="BK108" s="7" t="s">
        <v>1267</v>
      </c>
      <c r="BL108" s="131">
        <v>2</v>
      </c>
      <c r="BM108" s="132" t="s">
        <v>131</v>
      </c>
      <c r="BN108"/>
      <c r="BO108" s="60" t="str">
        <f t="shared" si="58"/>
        <v>Catégorie 3B OUI</v>
      </c>
      <c r="BP108"/>
      <c r="BQ108" s="146" t="s">
        <v>88</v>
      </c>
      <c r="BR108"/>
      <c r="BS108" s="187" t="str">
        <f t="shared" si="64"/>
        <v>X</v>
      </c>
      <c r="BT108" s="19" t="str">
        <f t="shared" si="65"/>
        <v>X</v>
      </c>
      <c r="BU108" s="19" t="str">
        <f t="shared" si="66"/>
        <v/>
      </c>
      <c r="BV108" s="10"/>
      <c r="BW108" s="5" t="str">
        <f t="shared" si="67"/>
        <v/>
      </c>
      <c r="BX108" s="5" t="str">
        <f t="shared" si="68"/>
        <v>X</v>
      </c>
      <c r="BY108"/>
      <c r="BZ108" s="5" t="str">
        <f t="shared" si="69"/>
        <v>X</v>
      </c>
      <c r="CA108" s="5" t="str">
        <f t="shared" si="70"/>
        <v>X</v>
      </c>
      <c r="CB108" s="188" t="str">
        <f t="shared" si="71"/>
        <v>X</v>
      </c>
    </row>
    <row r="109" spans="1:80" s="22" customFormat="1" ht="30" customHeight="1" x14ac:dyDescent="0.55000000000000004">
      <c r="A109" s="141">
        <v>4</v>
      </c>
      <c r="B109" s="104" t="s">
        <v>1225</v>
      </c>
      <c r="C109" s="141" t="s">
        <v>1268</v>
      </c>
      <c r="D109" s="141" t="s">
        <v>1269</v>
      </c>
      <c r="E109" s="141" t="s">
        <v>1270</v>
      </c>
      <c r="F109" s="141" t="s">
        <v>1271</v>
      </c>
      <c r="G109" s="141" t="s">
        <v>1272</v>
      </c>
      <c r="H109" s="141" t="s">
        <v>1273</v>
      </c>
      <c r="I109" s="141" t="s">
        <v>88</v>
      </c>
      <c r="J109" s="141" t="s">
        <v>88</v>
      </c>
      <c r="K109" s="142" t="s">
        <v>379</v>
      </c>
      <c r="L109" s="142"/>
      <c r="M109" s="142"/>
      <c r="N109" s="142"/>
      <c r="O109" s="142"/>
      <c r="P109" s="142"/>
      <c r="Q109" s="142"/>
      <c r="R109" s="142"/>
      <c r="S109" s="142" t="s">
        <v>1274</v>
      </c>
      <c r="T109" s="142" t="s">
        <v>85</v>
      </c>
      <c r="U109" s="142" t="s">
        <v>1275</v>
      </c>
      <c r="V109" s="142" t="s">
        <v>88</v>
      </c>
      <c r="W109" s="142" t="s">
        <v>1276</v>
      </c>
      <c r="X109" s="142" t="s">
        <v>1277</v>
      </c>
      <c r="Y109" s="142" t="s">
        <v>1278</v>
      </c>
      <c r="Z109" s="142">
        <v>4.1100000000000003</v>
      </c>
      <c r="AA109" s="142" t="s">
        <v>351</v>
      </c>
      <c r="AB109" s="143">
        <f>LOG(850)</f>
        <v>2.9294189257142929</v>
      </c>
      <c r="AC109" s="142" t="s">
        <v>1279</v>
      </c>
      <c r="AD109" s="142" t="s">
        <v>1280</v>
      </c>
      <c r="AE109" s="1"/>
      <c r="AF109" s="30" t="str" cm="1">
        <f t="array" ref="AF109">_xlfn.IFS(COUNTIF(Table14623576[[#This Row],[PBT/ vPvB]],"*X*"), 20, TRUE, "")</f>
        <v/>
      </c>
      <c r="AG109" s="30" cm="1">
        <f t="array" ref="AG109">_xlfn.IFS(COUNTIF(Table14623576[[#This Row],[Perturbateur Endocrinien]],"*X*"), 20, TRUE, "")</f>
        <v>20</v>
      </c>
      <c r="AH109" s="30" t="str" cm="1">
        <f t="array" ref="AH109">_xlfn.IFS(COUNTIF(Table14623576[[#This Row],[Phrases H]],"*H350*"), 20, TRUE, "")</f>
        <v/>
      </c>
      <c r="AI109" s="30" t="str" cm="1">
        <f t="array" ref="AI109">_xlfn.IFS(COUNTIF(Table14623576[[#This Row],[Phrases H]],"*H360*"), 20, TRUE, "")</f>
        <v/>
      </c>
      <c r="AJ109" s="30" t="str" cm="1">
        <f t="array" ref="AJ109">_xlfn.IFS(COUNTIF(Table14623576[[#This Row],[Phrases H]],"*H340*"), 20, TRUE, "")</f>
        <v/>
      </c>
      <c r="AK109" s="30" t="str" cm="1">
        <f t="array" ref="AK109">_xlfn.IFS(COUNTIF(Table14623576[[#This Row],[Phrases H]],"*H351*"), 10, TRUE, "")</f>
        <v/>
      </c>
      <c r="AL109" s="30" t="str" cm="1">
        <f t="array" ref="AL109">_xlfn.IFS(COUNTIF(Table14623576[[#This Row],[Phrases H]],"*H361*"), 10, TRUE, "")</f>
        <v/>
      </c>
      <c r="AM109" s="30" t="str" cm="1">
        <f t="array" ref="AM109">_xlfn.IFS(COUNTIF(Table14623576[[#This Row],[Phrases H]],"*H362*"), 10, TRUE, "")</f>
        <v/>
      </c>
      <c r="AN109" s="30" t="str" cm="1">
        <f t="array" ref="AN109">_xlfn.IFS(COUNTIF(Table14623576[[#This Row],[Phrases H]],"*H341*"), 10, TRUE, "")</f>
        <v/>
      </c>
      <c r="AO109" s="30" t="str" cm="1">
        <f t="array" ref="AO109">_xlfn.IFS(COUNTIF(Table14623576[[#This Row],[Phrases H]],"*H372*"), 10, TRUE, "")</f>
        <v/>
      </c>
      <c r="AP109" s="30" t="str" cm="1">
        <f t="array" ref="AP109">_xlfn.IFS(COUNTIF(Table14623576[[#This Row],[Phrases H]],"*H410*"), 10, TRUE, "")</f>
        <v/>
      </c>
      <c r="AQ109" s="30" t="str" cm="1">
        <f t="array" ref="AQ109">_xlfn.IFS(COUNTIF(Table14623576[[#This Row],[Phrases H]],"*H373*"), 5, TRUE, "")</f>
        <v/>
      </c>
      <c r="AR109" s="30" cm="1">
        <f t="array" ref="AR109">_xlfn.IFS(COUNTIF(Table14623576[[#This Row],[Phrases H]],"*H411*"), 5, TRUE, "")</f>
        <v>5</v>
      </c>
      <c r="AS109" s="112">
        <f t="shared" si="53"/>
        <v>25</v>
      </c>
      <c r="AT109" s="144">
        <v>2.9294189257142929</v>
      </c>
      <c r="AU109" s="144">
        <v>22</v>
      </c>
      <c r="AV109" s="114">
        <f t="shared" si="41"/>
        <v>30</v>
      </c>
      <c r="AW109" s="115" t="str">
        <f t="shared" si="72"/>
        <v>10</v>
      </c>
      <c r="AX109" s="116">
        <f t="shared" si="61"/>
        <v>35</v>
      </c>
      <c r="AY109" s="117">
        <f t="shared" si="62"/>
        <v>0.41176470588235292</v>
      </c>
      <c r="AZ109" s="118" t="str">
        <f t="shared" si="54"/>
        <v>3</v>
      </c>
      <c r="BA109" s="119" t="str">
        <f t="shared" si="63"/>
        <v>3</v>
      </c>
      <c r="BB109" s="145"/>
      <c r="BC109" s="144">
        <v>100</v>
      </c>
      <c r="BD109" s="113" t="s">
        <v>97</v>
      </c>
      <c r="BE109" s="120">
        <f t="shared" si="59"/>
        <v>10</v>
      </c>
      <c r="BF109" s="121" t="str">
        <f t="shared" si="55"/>
        <v>Faible production</v>
      </c>
      <c r="BG109" s="122" t="str">
        <f t="shared" si="56"/>
        <v>D</v>
      </c>
      <c r="BH109" s="145"/>
      <c r="BI109" s="7"/>
      <c r="BJ109" s="5">
        <v>0</v>
      </c>
      <c r="BK109" s="7"/>
      <c r="BL109" s="131">
        <v>0</v>
      </c>
      <c r="BM109" s="132" t="s">
        <v>99</v>
      </c>
      <c r="BN109"/>
      <c r="BO109" s="60" t="str">
        <f t="shared" si="58"/>
        <v>Catégorie 3D NON</v>
      </c>
      <c r="BP109"/>
      <c r="BQ109" s="146" t="s">
        <v>88</v>
      </c>
      <c r="BR109"/>
      <c r="BS109" s="187" t="str">
        <f t="shared" si="64"/>
        <v>X</v>
      </c>
      <c r="BT109" s="19" t="str">
        <f t="shared" si="65"/>
        <v/>
      </c>
      <c r="BU109" s="19" t="str">
        <f t="shared" si="66"/>
        <v/>
      </c>
      <c r="BV109" s="10"/>
      <c r="BW109" s="5" t="str">
        <f t="shared" si="67"/>
        <v>X</v>
      </c>
      <c r="BX109" s="5" t="str">
        <f t="shared" si="68"/>
        <v/>
      </c>
      <c r="BY109"/>
      <c r="BZ109" s="5" t="str">
        <f t="shared" si="69"/>
        <v/>
      </c>
      <c r="CA109" s="5" t="str">
        <f t="shared" si="70"/>
        <v/>
      </c>
      <c r="CB109" s="188" t="str">
        <f t="shared" si="71"/>
        <v/>
      </c>
    </row>
    <row r="110" spans="1:80" s="22" customFormat="1" ht="30" customHeight="1" x14ac:dyDescent="0.55000000000000004">
      <c r="A110" s="141">
        <v>5</v>
      </c>
      <c r="B110" s="104" t="s">
        <v>1225</v>
      </c>
      <c r="C110" s="141" t="s">
        <v>1281</v>
      </c>
      <c r="D110" s="141" t="s">
        <v>1282</v>
      </c>
      <c r="E110" s="141" t="s">
        <v>1283</v>
      </c>
      <c r="F110" s="141" t="s">
        <v>1284</v>
      </c>
      <c r="G110" s="141" t="s">
        <v>1285</v>
      </c>
      <c r="H110" s="141" t="s">
        <v>1286</v>
      </c>
      <c r="I110" s="141" t="s">
        <v>88</v>
      </c>
      <c r="J110" s="141" t="s">
        <v>88</v>
      </c>
      <c r="K110" s="142" t="s">
        <v>318</v>
      </c>
      <c r="L110" s="142"/>
      <c r="M110" s="142"/>
      <c r="N110" s="142"/>
      <c r="O110" s="142"/>
      <c r="P110" s="142"/>
      <c r="Q110" s="142"/>
      <c r="R110" s="142" t="s">
        <v>85</v>
      </c>
      <c r="S110" s="142" t="s">
        <v>869</v>
      </c>
      <c r="T110" s="142" t="s">
        <v>85</v>
      </c>
      <c r="U110" s="142" t="s">
        <v>108</v>
      </c>
      <c r="V110" s="142" t="s">
        <v>88</v>
      </c>
      <c r="W110" s="142" t="s">
        <v>1287</v>
      </c>
      <c r="X110" s="142" t="s">
        <v>1277</v>
      </c>
      <c r="Y110" s="142" t="s">
        <v>1288</v>
      </c>
      <c r="Z110" s="142">
        <v>9.06</v>
      </c>
      <c r="AA110" s="142"/>
      <c r="AB110" s="143">
        <f>LOG(74100)</f>
        <v>4.8698182079793284</v>
      </c>
      <c r="AC110" s="142" t="s">
        <v>1289</v>
      </c>
      <c r="AD110" s="142" t="s">
        <v>1290</v>
      </c>
      <c r="AE110" s="1"/>
      <c r="AF110" s="30" cm="1">
        <f t="array" ref="AF110">_xlfn.IFS(COUNTIF(Table14623576[[#This Row],[PBT/ vPvB]],"*X*"), 20, TRUE, "")</f>
        <v>20</v>
      </c>
      <c r="AG110" s="30" cm="1">
        <f t="array" ref="AG110">_xlfn.IFS(COUNTIF(Table14623576[[#This Row],[Perturbateur Endocrinien]],"*X*"), 20, TRUE, "")</f>
        <v>20</v>
      </c>
      <c r="AH110" s="30" t="str" cm="1">
        <f t="array" ref="AH110">_xlfn.IFS(COUNTIF(Table14623576[[#This Row],[Phrases H]],"*H350*"), 20, TRUE, "")</f>
        <v/>
      </c>
      <c r="AI110" s="30" t="str" cm="1">
        <f t="array" ref="AI110">_xlfn.IFS(COUNTIF(Table14623576[[#This Row],[Phrases H]],"*H360*"), 20, TRUE, "")</f>
        <v/>
      </c>
      <c r="AJ110" s="30" t="str" cm="1">
        <f t="array" ref="AJ110">_xlfn.IFS(COUNTIF(Table14623576[[#This Row],[Phrases H]],"*H340*"), 20, TRUE, "")</f>
        <v/>
      </c>
      <c r="AK110" s="30" t="str" cm="1">
        <f t="array" ref="AK110">_xlfn.IFS(COUNTIF(Table14623576[[#This Row],[Phrases H]],"*H351*"), 10, TRUE, "")</f>
        <v/>
      </c>
      <c r="AL110" s="30" t="str" cm="1">
        <f t="array" ref="AL110">_xlfn.IFS(COUNTIF(Table14623576[[#This Row],[Phrases H]],"*H361*"), 10, TRUE, "")</f>
        <v/>
      </c>
      <c r="AM110" s="30" t="str" cm="1">
        <f t="array" ref="AM110">_xlfn.IFS(COUNTIF(Table14623576[[#This Row],[Phrases H]],"*H362*"), 10, TRUE, "")</f>
        <v/>
      </c>
      <c r="AN110" s="30" t="str" cm="1">
        <f t="array" ref="AN110">_xlfn.IFS(COUNTIF(Table14623576[[#This Row],[Phrases H]],"*H341*"), 10, TRUE, "")</f>
        <v/>
      </c>
      <c r="AO110" s="30" t="str" cm="1">
        <f t="array" ref="AO110">_xlfn.IFS(COUNTIF(Table14623576[[#This Row],[Phrases H]],"*H372*"), 10, TRUE, "")</f>
        <v/>
      </c>
      <c r="AP110" s="30" t="str" cm="1">
        <f t="array" ref="AP110">_xlfn.IFS(COUNTIF(Table14623576[[#This Row],[Phrases H]],"*H410*"), 10, TRUE, "")</f>
        <v/>
      </c>
      <c r="AQ110" s="30" t="str" cm="1">
        <f t="array" ref="AQ110">_xlfn.IFS(COUNTIF(Table14623576[[#This Row],[Phrases H]],"*H373*"), 5, TRUE, "")</f>
        <v/>
      </c>
      <c r="AR110" s="30" t="str" cm="1">
        <f t="array" ref="AR110">_xlfn.IFS(COUNTIF(Table14623576[[#This Row],[Phrases H]],"*H411*"), 5, TRUE, "")</f>
        <v/>
      </c>
      <c r="AS110" s="112">
        <f t="shared" si="53"/>
        <v>40</v>
      </c>
      <c r="AT110" s="144">
        <v>4.8698182079793284</v>
      </c>
      <c r="AU110" s="144">
        <v>3.1999999999999999E-5</v>
      </c>
      <c r="AV110" s="114">
        <f t="shared" si="41"/>
        <v>10</v>
      </c>
      <c r="AW110" s="115" t="str">
        <f t="shared" si="72"/>
        <v>0</v>
      </c>
      <c r="AX110" s="116">
        <f t="shared" si="61"/>
        <v>40</v>
      </c>
      <c r="AY110" s="117">
        <f t="shared" si="62"/>
        <v>0.47058823529411764</v>
      </c>
      <c r="AZ110" s="118" t="str">
        <f t="shared" si="54"/>
        <v>3</v>
      </c>
      <c r="BA110" s="119" t="str">
        <f t="shared" si="63"/>
        <v>3</v>
      </c>
      <c r="BB110" s="145"/>
      <c r="BC110" s="144">
        <v>1000</v>
      </c>
      <c r="BD110" s="113" t="s">
        <v>97</v>
      </c>
      <c r="BE110" s="120">
        <f t="shared" si="59"/>
        <v>15</v>
      </c>
      <c r="BF110" s="121" t="str">
        <f t="shared" si="55"/>
        <v>Production modérée</v>
      </c>
      <c r="BG110" s="122" t="str">
        <f t="shared" si="56"/>
        <v>C</v>
      </c>
      <c r="BH110" s="145"/>
      <c r="BI110" s="7"/>
      <c r="BJ110" s="5">
        <v>0</v>
      </c>
      <c r="BK110" s="7"/>
      <c r="BL110" s="131">
        <v>0</v>
      </c>
      <c r="BM110" s="132" t="s">
        <v>99</v>
      </c>
      <c r="BN110"/>
      <c r="BO110" s="60" t="str">
        <f t="shared" si="58"/>
        <v>Catégorie 3C NON</v>
      </c>
      <c r="BP110"/>
      <c r="BQ110" s="146" t="s">
        <v>88</v>
      </c>
      <c r="BR110"/>
      <c r="BS110" s="187" t="str">
        <f t="shared" si="64"/>
        <v>X</v>
      </c>
      <c r="BT110" s="19" t="str">
        <f t="shared" si="65"/>
        <v/>
      </c>
      <c r="BU110" s="19" t="str">
        <f t="shared" si="66"/>
        <v/>
      </c>
      <c r="BV110" s="10"/>
      <c r="BW110" s="5" t="str">
        <f t="shared" si="67"/>
        <v/>
      </c>
      <c r="BX110" s="5" t="str">
        <f t="shared" si="68"/>
        <v/>
      </c>
      <c r="BY110"/>
      <c r="BZ110" s="5" t="str">
        <f t="shared" si="69"/>
        <v>X</v>
      </c>
      <c r="CA110" s="5" t="str">
        <f t="shared" si="70"/>
        <v/>
      </c>
      <c r="CB110" s="188" t="str">
        <f t="shared" si="71"/>
        <v/>
      </c>
    </row>
    <row r="111" spans="1:80" s="22" customFormat="1" ht="46" customHeight="1" x14ac:dyDescent="0.55000000000000004">
      <c r="A111" s="141">
        <v>6</v>
      </c>
      <c r="B111" s="104" t="s">
        <v>1225</v>
      </c>
      <c r="C111" s="141" t="s">
        <v>1291</v>
      </c>
      <c r="D111" s="141" t="s">
        <v>1292</v>
      </c>
      <c r="E111" s="141" t="s">
        <v>1293</v>
      </c>
      <c r="F111" s="141" t="s">
        <v>1294</v>
      </c>
      <c r="G111" s="141" t="s">
        <v>1272</v>
      </c>
      <c r="H111" s="141" t="s">
        <v>1295</v>
      </c>
      <c r="I111" s="141" t="s">
        <v>88</v>
      </c>
      <c r="J111" s="141" t="s">
        <v>88</v>
      </c>
      <c r="K111" s="142" t="s">
        <v>318</v>
      </c>
      <c r="L111" s="142"/>
      <c r="M111" s="142"/>
      <c r="N111" s="142"/>
      <c r="O111" s="142"/>
      <c r="P111" s="142"/>
      <c r="Q111" s="142"/>
      <c r="R111" s="142"/>
      <c r="S111" s="142" t="s">
        <v>1274</v>
      </c>
      <c r="T111" s="142" t="s">
        <v>85</v>
      </c>
      <c r="U111" s="142" t="s">
        <v>1296</v>
      </c>
      <c r="V111" s="142" t="s">
        <v>88</v>
      </c>
      <c r="W111" s="142" t="s">
        <v>1297</v>
      </c>
      <c r="X111" s="142" t="s">
        <v>1277</v>
      </c>
      <c r="Y111" s="142" t="s">
        <v>1298</v>
      </c>
      <c r="Z111" s="142">
        <v>3.75</v>
      </c>
      <c r="AA111" s="142" t="s">
        <v>1299</v>
      </c>
      <c r="AB111" s="143">
        <f>LOG(6310)</f>
        <v>3.8000293592441343</v>
      </c>
      <c r="AC111" s="142" t="s">
        <v>1300</v>
      </c>
      <c r="AD111" s="142" t="s">
        <v>1301</v>
      </c>
      <c r="AE111" s="1"/>
      <c r="AF111" s="30" t="str" cm="1">
        <f t="array" ref="AF111">_xlfn.IFS(COUNTIF(Table14623576[[#This Row],[PBT/ vPvB]],"*X*"), 20, TRUE, "")</f>
        <v/>
      </c>
      <c r="AG111" s="30" cm="1">
        <f t="array" ref="AG111">_xlfn.IFS(COUNTIF(Table14623576[[#This Row],[Perturbateur Endocrinien]],"*X*"), 20, TRUE, "")</f>
        <v>20</v>
      </c>
      <c r="AH111" s="30" t="str" cm="1">
        <f t="array" ref="AH111">_xlfn.IFS(COUNTIF(Table14623576[[#This Row],[Phrases H]],"*H350*"), 20, TRUE, "")</f>
        <v/>
      </c>
      <c r="AI111" s="30" t="str" cm="1">
        <f t="array" ref="AI111">_xlfn.IFS(COUNTIF(Table14623576[[#This Row],[Phrases H]],"*H360*"), 20, TRUE, "")</f>
        <v/>
      </c>
      <c r="AJ111" s="30" t="str" cm="1">
        <f t="array" ref="AJ111">_xlfn.IFS(COUNTIF(Table14623576[[#This Row],[Phrases H]],"*H340*"), 20, TRUE, "")</f>
        <v/>
      </c>
      <c r="AK111" s="30" t="str" cm="1">
        <f t="array" ref="AK111">_xlfn.IFS(COUNTIF(Table14623576[[#This Row],[Phrases H]],"*H351*"), 10, TRUE, "")</f>
        <v/>
      </c>
      <c r="AL111" s="30" t="str" cm="1">
        <f t="array" ref="AL111">_xlfn.IFS(COUNTIF(Table14623576[[#This Row],[Phrases H]],"*H361*"), 10, TRUE, "")</f>
        <v/>
      </c>
      <c r="AM111" s="30" t="str" cm="1">
        <f t="array" ref="AM111">_xlfn.IFS(COUNTIF(Table14623576[[#This Row],[Phrases H]],"*H362*"), 10, TRUE, "")</f>
        <v/>
      </c>
      <c r="AN111" s="30" t="str" cm="1">
        <f t="array" ref="AN111">_xlfn.IFS(COUNTIF(Table14623576[[#This Row],[Phrases H]],"*H341*"), 10, TRUE, "")</f>
        <v/>
      </c>
      <c r="AO111" s="30" t="str" cm="1">
        <f t="array" ref="AO111">_xlfn.IFS(COUNTIF(Table14623576[[#This Row],[Phrases H]],"*H372*"), 10, TRUE, "")</f>
        <v/>
      </c>
      <c r="AP111" s="30" t="str" cm="1">
        <f t="array" ref="AP111">_xlfn.IFS(COUNTIF(Table14623576[[#This Row],[Phrases H]],"*H410*"), 10, TRUE, "")</f>
        <v/>
      </c>
      <c r="AQ111" s="30" t="str" cm="1">
        <f t="array" ref="AQ111">_xlfn.IFS(COUNTIF(Table14623576[[#This Row],[Phrases H]],"*H373*"), 5, TRUE, "")</f>
        <v/>
      </c>
      <c r="AR111" s="30" t="str" cm="1">
        <f t="array" ref="AR111">_xlfn.IFS(COUNTIF(Table14623576[[#This Row],[Phrases H]],"*H411*"), 5, TRUE, "")</f>
        <v/>
      </c>
      <c r="AS111" s="112">
        <f t="shared" si="53"/>
        <v>20</v>
      </c>
      <c r="AT111" s="144">
        <v>3.8000293592441343</v>
      </c>
      <c r="AU111" s="144">
        <v>100</v>
      </c>
      <c r="AV111" s="114">
        <f t="shared" si="41"/>
        <v>30</v>
      </c>
      <c r="AW111" s="115" t="str">
        <f t="shared" si="72"/>
        <v>0</v>
      </c>
      <c r="AX111" s="116">
        <f t="shared" si="61"/>
        <v>20</v>
      </c>
      <c r="AY111" s="117">
        <f t="shared" si="62"/>
        <v>0.23529411764705882</v>
      </c>
      <c r="AZ111" s="118" t="str">
        <f t="shared" si="54"/>
        <v>4</v>
      </c>
      <c r="BA111" s="119" t="str">
        <f t="shared" si="63"/>
        <v>4</v>
      </c>
      <c r="BB111" s="145"/>
      <c r="BC111" s="144">
        <v>1000</v>
      </c>
      <c r="BD111" s="113" t="s">
        <v>97</v>
      </c>
      <c r="BE111" s="120">
        <f t="shared" si="59"/>
        <v>15</v>
      </c>
      <c r="BF111" s="121" t="str">
        <f t="shared" si="55"/>
        <v>Production modérée</v>
      </c>
      <c r="BG111" s="122" t="str">
        <f t="shared" si="56"/>
        <v>C</v>
      </c>
      <c r="BH111" s="145"/>
      <c r="BI111" s="7" t="s">
        <v>1267</v>
      </c>
      <c r="BJ111" s="130">
        <v>2</v>
      </c>
      <c r="BK111" s="7" t="s">
        <v>1267</v>
      </c>
      <c r="BL111" s="131">
        <v>2</v>
      </c>
      <c r="BM111" s="132" t="s">
        <v>131</v>
      </c>
      <c r="BN111"/>
      <c r="BO111" s="60" t="str">
        <f t="shared" si="58"/>
        <v>Catégorie 4C OUI</v>
      </c>
      <c r="BP111"/>
      <c r="BQ111" s="146" t="s">
        <v>88</v>
      </c>
      <c r="BR111"/>
      <c r="BS111" s="187" t="str">
        <f t="shared" si="64"/>
        <v/>
      </c>
      <c r="BT111" s="19" t="str">
        <f t="shared" si="65"/>
        <v/>
      </c>
      <c r="BU111" s="19" t="str">
        <f t="shared" si="66"/>
        <v/>
      </c>
      <c r="BV111" s="10"/>
      <c r="BW111" s="5" t="str">
        <f t="shared" si="67"/>
        <v/>
      </c>
      <c r="BX111" s="5" t="str">
        <f t="shared" si="68"/>
        <v>X</v>
      </c>
      <c r="BY111"/>
      <c r="BZ111" s="5" t="str">
        <f t="shared" si="69"/>
        <v>X</v>
      </c>
      <c r="CA111" s="5" t="str">
        <f t="shared" si="70"/>
        <v>X</v>
      </c>
      <c r="CB111" s="188" t="str">
        <f t="shared" si="71"/>
        <v>X</v>
      </c>
    </row>
    <row r="112" spans="1:80" s="22" customFormat="1" ht="30" customHeight="1" x14ac:dyDescent="0.55000000000000004">
      <c r="A112" s="141">
        <v>7</v>
      </c>
      <c r="B112" s="104" t="s">
        <v>1225</v>
      </c>
      <c r="C112" s="141" t="s">
        <v>1302</v>
      </c>
      <c r="D112" s="141" t="s">
        <v>1303</v>
      </c>
      <c r="E112" s="141" t="s">
        <v>1304</v>
      </c>
      <c r="F112" s="141" t="s">
        <v>1305</v>
      </c>
      <c r="G112" s="141" t="s">
        <v>1306</v>
      </c>
      <c r="H112" s="141" t="s">
        <v>1307</v>
      </c>
      <c r="I112" s="141" t="s">
        <v>88</v>
      </c>
      <c r="J112" s="141" t="s">
        <v>88</v>
      </c>
      <c r="K112" s="142" t="s">
        <v>1139</v>
      </c>
      <c r="L112" s="142"/>
      <c r="M112" s="142"/>
      <c r="N112" s="142" t="s">
        <v>85</v>
      </c>
      <c r="O112" s="142"/>
      <c r="P112" s="142"/>
      <c r="Q112" s="142"/>
      <c r="R112" s="142" t="s">
        <v>85</v>
      </c>
      <c r="S112" s="142" t="s">
        <v>869</v>
      </c>
      <c r="T112" s="142" t="s">
        <v>85</v>
      </c>
      <c r="U112" s="142" t="s">
        <v>1308</v>
      </c>
      <c r="V112" s="142" t="s">
        <v>88</v>
      </c>
      <c r="W112" s="142" t="s">
        <v>1309</v>
      </c>
      <c r="X112" s="142" t="s">
        <v>1310</v>
      </c>
      <c r="Y112" s="142" t="s">
        <v>1311</v>
      </c>
      <c r="Z112" s="142">
        <v>4.3</v>
      </c>
      <c r="AA112" s="142" t="s">
        <v>1312</v>
      </c>
      <c r="AB112" s="143">
        <f>LOG(37200)</f>
        <v>4.5705429398818973</v>
      </c>
      <c r="AC112" s="142" t="s">
        <v>1313</v>
      </c>
      <c r="AD112" s="142" t="s">
        <v>1314</v>
      </c>
      <c r="AE112" s="1"/>
      <c r="AF112" s="30" cm="1">
        <f t="array" ref="AF112">_xlfn.IFS(COUNTIF(Table14623576[[#This Row],[PBT/ vPvB]],"*X*"), 20, TRUE, "")</f>
        <v>20</v>
      </c>
      <c r="AG112" s="30" cm="1">
        <f t="array" ref="AG112">_xlfn.IFS(COUNTIF(Table14623576[[#This Row],[Perturbateur Endocrinien]],"*X*"), 20, TRUE, "")</f>
        <v>20</v>
      </c>
      <c r="AH112" s="30" t="str" cm="1">
        <f t="array" ref="AH112">_xlfn.IFS(COUNTIF(Table14623576[[#This Row],[Phrases H]],"*H350*"), 20, TRUE, "")</f>
        <v/>
      </c>
      <c r="AI112" s="30" t="str" cm="1">
        <f t="array" ref="AI112">_xlfn.IFS(COUNTIF(Table14623576[[#This Row],[Phrases H]],"*H360*"), 20, TRUE, "")</f>
        <v/>
      </c>
      <c r="AJ112" s="30" t="str" cm="1">
        <f t="array" ref="AJ112">_xlfn.IFS(COUNTIF(Table14623576[[#This Row],[Phrases H]],"*H340*"), 20, TRUE, "")</f>
        <v/>
      </c>
      <c r="AK112" s="30" t="str" cm="1">
        <f t="array" ref="AK112">_xlfn.IFS(COUNTIF(Table14623576[[#This Row],[Phrases H]],"*H351*"), 10, TRUE, "")</f>
        <v/>
      </c>
      <c r="AL112" s="30" cm="1">
        <f t="array" ref="AL112">_xlfn.IFS(COUNTIF(Table14623576[[#This Row],[Phrases H]],"*H361*"), 10, TRUE, "")</f>
        <v>10</v>
      </c>
      <c r="AM112" s="30" t="str" cm="1">
        <f t="array" ref="AM112">_xlfn.IFS(COUNTIF(Table14623576[[#This Row],[Phrases H]],"*H362*"), 10, TRUE, "")</f>
        <v/>
      </c>
      <c r="AN112" s="30" t="str" cm="1">
        <f t="array" ref="AN112">_xlfn.IFS(COUNTIF(Table14623576[[#This Row],[Phrases H]],"*H341*"), 10, TRUE, "")</f>
        <v/>
      </c>
      <c r="AO112" s="30" t="str" cm="1">
        <f t="array" ref="AO112">_xlfn.IFS(COUNTIF(Table14623576[[#This Row],[Phrases H]],"*H372*"), 10, TRUE, "")</f>
        <v/>
      </c>
      <c r="AP112" s="30" t="str" cm="1">
        <f t="array" ref="AP112">_xlfn.IFS(COUNTIF(Table14623576[[#This Row],[Phrases H]],"*H410*"), 10, TRUE, "")</f>
        <v/>
      </c>
      <c r="AQ112" s="30" t="str" cm="1">
        <f t="array" ref="AQ112">_xlfn.IFS(COUNTIF(Table14623576[[#This Row],[Phrases H]],"*H373*"), 5, TRUE, "")</f>
        <v/>
      </c>
      <c r="AR112" s="30" cm="1">
        <f t="array" ref="AR112">_xlfn.IFS(COUNTIF(Table14623576[[#This Row],[Phrases H]],"*H411*"), 5, TRUE, "")</f>
        <v>5</v>
      </c>
      <c r="AS112" s="112">
        <f t="shared" si="53"/>
        <v>55</v>
      </c>
      <c r="AT112" s="144">
        <v>4.5705429398818973</v>
      </c>
      <c r="AU112" s="144">
        <v>0.84499999999999997</v>
      </c>
      <c r="AV112" s="114">
        <f t="shared" si="41"/>
        <v>20</v>
      </c>
      <c r="AW112" s="115" t="str">
        <f t="shared" si="72"/>
        <v>0</v>
      </c>
      <c r="AX112" s="116">
        <f t="shared" si="61"/>
        <v>55</v>
      </c>
      <c r="AY112" s="117">
        <f t="shared" si="62"/>
        <v>0.6470588235294118</v>
      </c>
      <c r="AZ112" s="118" t="str">
        <f t="shared" si="54"/>
        <v>2</v>
      </c>
      <c r="BA112" s="119" t="str">
        <f t="shared" si="63"/>
        <v>2</v>
      </c>
      <c r="BB112" s="145"/>
      <c r="BC112" s="144" t="s">
        <v>88</v>
      </c>
      <c r="BD112" s="113" t="s">
        <v>97</v>
      </c>
      <c r="BE112" s="120">
        <f t="shared" si="59"/>
        <v>0</v>
      </c>
      <c r="BF112" s="121" t="str">
        <f t="shared" si="55"/>
        <v>N/A</v>
      </c>
      <c r="BG112" s="122" t="str">
        <f t="shared" si="56"/>
        <v>E</v>
      </c>
      <c r="BH112" s="145"/>
      <c r="BI112" s="7"/>
      <c r="BJ112" s="135">
        <v>0</v>
      </c>
      <c r="BK112" s="7"/>
      <c r="BL112" s="131">
        <v>0</v>
      </c>
      <c r="BM112" s="119" t="s">
        <v>99</v>
      </c>
      <c r="BN112"/>
      <c r="BO112" s="60" t="str">
        <f t="shared" si="57"/>
        <v>Catégorie 2ENON</v>
      </c>
      <c r="BP112"/>
      <c r="BQ112" s="146" t="s">
        <v>88</v>
      </c>
      <c r="BR112"/>
      <c r="BS112" s="187" t="str">
        <f t="shared" si="64"/>
        <v>X</v>
      </c>
      <c r="BT112" s="19" t="str">
        <f t="shared" si="65"/>
        <v>X</v>
      </c>
      <c r="BU112" s="19" t="str">
        <f t="shared" si="66"/>
        <v>X</v>
      </c>
      <c r="BV112" s="10"/>
      <c r="BW112" s="5" t="str">
        <f t="shared" si="67"/>
        <v>X</v>
      </c>
      <c r="BX112" s="5" t="str">
        <f t="shared" si="68"/>
        <v/>
      </c>
      <c r="BY112"/>
      <c r="BZ112" s="5" t="str">
        <f t="shared" si="69"/>
        <v/>
      </c>
      <c r="CA112" s="5" t="str">
        <f t="shared" si="70"/>
        <v/>
      </c>
      <c r="CB112" s="188" t="str">
        <f t="shared" si="71"/>
        <v/>
      </c>
    </row>
    <row r="113" spans="1:80" s="22" customFormat="1" ht="30" customHeight="1" x14ac:dyDescent="0.55000000000000004">
      <c r="A113" s="141">
        <v>8</v>
      </c>
      <c r="B113" s="104" t="s">
        <v>1225</v>
      </c>
      <c r="C113" s="141" t="s">
        <v>1315</v>
      </c>
      <c r="D113" s="141" t="s">
        <v>1316</v>
      </c>
      <c r="E113" s="141" t="s">
        <v>1317</v>
      </c>
      <c r="F113" s="141" t="s">
        <v>1318</v>
      </c>
      <c r="G113" s="141" t="s">
        <v>1319</v>
      </c>
      <c r="H113" s="141" t="s">
        <v>1320</v>
      </c>
      <c r="I113" s="141" t="s">
        <v>88</v>
      </c>
      <c r="J113" s="141" t="s">
        <v>88</v>
      </c>
      <c r="K113" s="142" t="s">
        <v>318</v>
      </c>
      <c r="L113" s="142"/>
      <c r="M113" s="142"/>
      <c r="N113" s="142"/>
      <c r="O113" s="142"/>
      <c r="P113" s="142"/>
      <c r="Q113" s="142"/>
      <c r="R113" s="142" t="s">
        <v>85</v>
      </c>
      <c r="S113" s="142" t="s">
        <v>1274</v>
      </c>
      <c r="T113" s="142" t="s">
        <v>85</v>
      </c>
      <c r="U113" s="142" t="s">
        <v>108</v>
      </c>
      <c r="V113" s="142" t="s">
        <v>88</v>
      </c>
      <c r="W113" s="142" t="s">
        <v>1321</v>
      </c>
      <c r="X113" s="142" t="s">
        <v>1277</v>
      </c>
      <c r="Y113" s="142" t="s">
        <v>1322</v>
      </c>
      <c r="Z113" s="142">
        <v>6.4</v>
      </c>
      <c r="AA113" s="142" t="s">
        <v>351</v>
      </c>
      <c r="AB113" s="143">
        <f>LOG(61700)</f>
        <v>4.790285164033242</v>
      </c>
      <c r="AC113" s="142" t="s">
        <v>1323</v>
      </c>
      <c r="AD113" s="142" t="s">
        <v>1324</v>
      </c>
      <c r="AE113" s="1"/>
      <c r="AF113" s="30" cm="1">
        <f t="array" ref="AF113">_xlfn.IFS(COUNTIF(Table14623576[[#This Row],[PBT/ vPvB]],"*X*"), 20, TRUE, "")</f>
        <v>20</v>
      </c>
      <c r="AG113" s="30" cm="1">
        <f t="array" ref="AG113">_xlfn.IFS(COUNTIF(Table14623576[[#This Row],[Perturbateur Endocrinien]],"*X*"), 20, TRUE, "")</f>
        <v>20</v>
      </c>
      <c r="AH113" s="30" t="str" cm="1">
        <f t="array" ref="AH113">_xlfn.IFS(COUNTIF(Table14623576[[#This Row],[Phrases H]],"*H350*"), 20, TRUE, "")</f>
        <v/>
      </c>
      <c r="AI113" s="30" t="str" cm="1">
        <f t="array" ref="AI113">_xlfn.IFS(COUNTIF(Table14623576[[#This Row],[Phrases H]],"*H360*"), 20, TRUE, "")</f>
        <v/>
      </c>
      <c r="AJ113" s="30" t="str" cm="1">
        <f t="array" ref="AJ113">_xlfn.IFS(COUNTIF(Table14623576[[#This Row],[Phrases H]],"*H340*"), 20, TRUE, "")</f>
        <v/>
      </c>
      <c r="AK113" s="30" t="str" cm="1">
        <f t="array" ref="AK113">_xlfn.IFS(COUNTIF(Table14623576[[#This Row],[Phrases H]],"*H351*"), 10, TRUE, "")</f>
        <v/>
      </c>
      <c r="AL113" s="30" t="str" cm="1">
        <f t="array" ref="AL113">_xlfn.IFS(COUNTIF(Table14623576[[#This Row],[Phrases H]],"*H361*"), 10, TRUE, "")</f>
        <v/>
      </c>
      <c r="AM113" s="30" t="str" cm="1">
        <f t="array" ref="AM113">_xlfn.IFS(COUNTIF(Table14623576[[#This Row],[Phrases H]],"*H362*"), 10, TRUE, "")</f>
        <v/>
      </c>
      <c r="AN113" s="30" t="str" cm="1">
        <f t="array" ref="AN113">_xlfn.IFS(COUNTIF(Table14623576[[#This Row],[Phrases H]],"*H341*"), 10, TRUE, "")</f>
        <v/>
      </c>
      <c r="AO113" s="30" t="str" cm="1">
        <f t="array" ref="AO113">_xlfn.IFS(COUNTIF(Table14623576[[#This Row],[Phrases H]],"*H372*"), 10, TRUE, "")</f>
        <v/>
      </c>
      <c r="AP113" s="30" t="str" cm="1">
        <f t="array" ref="AP113">_xlfn.IFS(COUNTIF(Table14623576[[#This Row],[Phrases H]],"*H410*"), 10, TRUE, "")</f>
        <v/>
      </c>
      <c r="AQ113" s="30" t="str" cm="1">
        <f t="array" ref="AQ113">_xlfn.IFS(COUNTIF(Table14623576[[#This Row],[Phrases H]],"*H373*"), 5, TRUE, "")</f>
        <v/>
      </c>
      <c r="AR113" s="30" t="str" cm="1">
        <f t="array" ref="AR113">_xlfn.IFS(COUNTIF(Table14623576[[#This Row],[Phrases H]],"*H411*"), 5, TRUE, "")</f>
        <v/>
      </c>
      <c r="AS113" s="112">
        <f t="shared" si="53"/>
        <v>40</v>
      </c>
      <c r="AT113" s="144">
        <v>4.790285164033242</v>
      </c>
      <c r="AU113" s="144">
        <v>4.0000000000000001E-3</v>
      </c>
      <c r="AV113" s="114">
        <f t="shared" si="41"/>
        <v>10</v>
      </c>
      <c r="AW113" s="115" t="str">
        <f t="shared" si="72"/>
        <v>0</v>
      </c>
      <c r="AX113" s="116">
        <f t="shared" si="61"/>
        <v>40</v>
      </c>
      <c r="AY113" s="117">
        <f t="shared" si="62"/>
        <v>0.47058823529411764</v>
      </c>
      <c r="AZ113" s="118" t="str">
        <f t="shared" si="54"/>
        <v>3</v>
      </c>
      <c r="BA113" s="119" t="str">
        <f t="shared" si="63"/>
        <v>3</v>
      </c>
      <c r="BB113" s="145"/>
      <c r="BC113" s="144">
        <v>1000</v>
      </c>
      <c r="BD113" s="113" t="s">
        <v>97</v>
      </c>
      <c r="BE113" s="120">
        <f t="shared" si="59"/>
        <v>15</v>
      </c>
      <c r="BF113" s="121" t="str">
        <f t="shared" si="55"/>
        <v>Production modérée</v>
      </c>
      <c r="BG113" s="122" t="str">
        <f t="shared" si="56"/>
        <v>C</v>
      </c>
      <c r="BH113" s="145"/>
      <c r="BI113" s="7"/>
      <c r="BJ113" s="5">
        <v>0</v>
      </c>
      <c r="BK113" s="7"/>
      <c r="BL113" s="131">
        <v>0</v>
      </c>
      <c r="BM113" s="132" t="s">
        <v>99</v>
      </c>
      <c r="BN113"/>
      <c r="BO113" s="60" t="str">
        <f t="shared" ref="BO113:BO127" si="73">_xlfn.CONCAT("Catégorie ", BA113,BG113," ",BM113)</f>
        <v>Catégorie 3C NON</v>
      </c>
      <c r="BP113"/>
      <c r="BQ113" s="146" t="s">
        <v>88</v>
      </c>
      <c r="BR113"/>
      <c r="BS113" s="187" t="str">
        <f t="shared" si="64"/>
        <v>X</v>
      </c>
      <c r="BT113" s="19" t="str">
        <f t="shared" si="65"/>
        <v/>
      </c>
      <c r="BU113" s="19" t="str">
        <f t="shared" si="66"/>
        <v/>
      </c>
      <c r="BV113" s="10"/>
      <c r="BW113" s="5" t="str">
        <f t="shared" si="67"/>
        <v/>
      </c>
      <c r="BX113" s="5" t="str">
        <f t="shared" si="68"/>
        <v/>
      </c>
      <c r="BY113"/>
      <c r="BZ113" s="5" t="str">
        <f t="shared" si="69"/>
        <v>X</v>
      </c>
      <c r="CA113" s="5" t="str">
        <f t="shared" si="70"/>
        <v/>
      </c>
      <c r="CB113" s="188" t="str">
        <f t="shared" si="71"/>
        <v/>
      </c>
    </row>
    <row r="114" spans="1:80" s="22" customFormat="1" ht="30" customHeight="1" x14ac:dyDescent="0.55000000000000004">
      <c r="A114" s="141">
        <v>9</v>
      </c>
      <c r="B114" s="104" t="s">
        <v>1225</v>
      </c>
      <c r="C114" s="141" t="s">
        <v>1325</v>
      </c>
      <c r="D114" s="141" t="s">
        <v>1326</v>
      </c>
      <c r="E114" s="141" t="s">
        <v>1327</v>
      </c>
      <c r="F114" s="141" t="s">
        <v>1328</v>
      </c>
      <c r="G114" s="141" t="s">
        <v>1329</v>
      </c>
      <c r="H114" s="141" t="s">
        <v>1330</v>
      </c>
      <c r="I114" s="141" t="s">
        <v>88</v>
      </c>
      <c r="J114" s="141" t="s">
        <v>88</v>
      </c>
      <c r="K114" s="142" t="s">
        <v>318</v>
      </c>
      <c r="L114" s="142"/>
      <c r="M114" s="142"/>
      <c r="N114" s="142"/>
      <c r="O114" s="142"/>
      <c r="P114" s="142"/>
      <c r="Q114" s="142"/>
      <c r="R114" s="142"/>
      <c r="S114" s="142" t="s">
        <v>1274</v>
      </c>
      <c r="T114" s="142"/>
      <c r="U114" s="142" t="s">
        <v>1331</v>
      </c>
      <c r="V114" s="142" t="s">
        <v>88</v>
      </c>
      <c r="W114" s="142" t="s">
        <v>1332</v>
      </c>
      <c r="X114" s="142" t="s">
        <v>1333</v>
      </c>
      <c r="Y114" s="142" t="s">
        <v>1334</v>
      </c>
      <c r="Z114" s="142">
        <v>2.79</v>
      </c>
      <c r="AA114" s="142" t="s">
        <v>351</v>
      </c>
      <c r="AB114" s="143">
        <f>LOG(6760)</f>
        <v>3.8299466959416359</v>
      </c>
      <c r="AC114" s="142" t="s">
        <v>1335</v>
      </c>
      <c r="AD114" s="142" t="s">
        <v>1336</v>
      </c>
      <c r="AE114" s="1"/>
      <c r="AF114" s="30" t="str" cm="1">
        <f t="array" ref="AF114">_xlfn.IFS(COUNTIF(Table14623576[[#This Row],[PBT/ vPvB]],"*X*"), 20, TRUE, "")</f>
        <v/>
      </c>
      <c r="AG114" s="30" t="str" cm="1">
        <f t="array" ref="AG114">_xlfn.IFS(COUNTIF(Table14623576[[#This Row],[Perturbateur Endocrinien]],"*X*"), 20, TRUE, "")</f>
        <v/>
      </c>
      <c r="AH114" s="30" t="str" cm="1">
        <f t="array" ref="AH114">_xlfn.IFS(COUNTIF(Table14623576[[#This Row],[Phrases H]],"*H350*"), 20, TRUE, "")</f>
        <v/>
      </c>
      <c r="AI114" s="30" cm="1">
        <f t="array" ref="AI114">_xlfn.IFS(COUNTIF(Table14623576[[#This Row],[Phrases H]],"*H360*"), 20, TRUE, "")</f>
        <v>20</v>
      </c>
      <c r="AJ114" s="30" t="str" cm="1">
        <f t="array" ref="AJ114">_xlfn.IFS(COUNTIF(Table14623576[[#This Row],[Phrases H]],"*H340*"), 20, TRUE, "")</f>
        <v/>
      </c>
      <c r="AK114" s="30" t="str" cm="1">
        <f t="array" ref="AK114">_xlfn.IFS(COUNTIF(Table14623576[[#This Row],[Phrases H]],"*H351*"), 10, TRUE, "")</f>
        <v/>
      </c>
      <c r="AL114" s="30" t="str" cm="1">
        <f t="array" ref="AL114">_xlfn.IFS(COUNTIF(Table14623576[[#This Row],[Phrases H]],"*H361*"), 10, TRUE, "")</f>
        <v/>
      </c>
      <c r="AM114" s="30" t="str" cm="1">
        <f t="array" ref="AM114">_xlfn.IFS(COUNTIF(Table14623576[[#This Row],[Phrases H]],"*H362*"), 10, TRUE, "")</f>
        <v/>
      </c>
      <c r="AN114" s="30" t="str" cm="1">
        <f t="array" ref="AN114">_xlfn.IFS(COUNTIF(Table14623576[[#This Row],[Phrases H]],"*H341*"), 10, TRUE, "")</f>
        <v/>
      </c>
      <c r="AO114" s="30" t="str" cm="1">
        <f t="array" ref="AO114">_xlfn.IFS(COUNTIF(Table14623576[[#This Row],[Phrases H]],"*H372*"), 10, TRUE, "")</f>
        <v/>
      </c>
      <c r="AP114" s="30" cm="1">
        <f t="array" ref="AP114">_xlfn.IFS(COUNTIF(Table14623576[[#This Row],[Phrases H]],"*H410*"), 10, TRUE, "")</f>
        <v>10</v>
      </c>
      <c r="AQ114" s="30" cm="1">
        <f t="array" ref="AQ114">_xlfn.IFS(COUNTIF(Table14623576[[#This Row],[Phrases H]],"*H373*"), 5, TRUE, "")</f>
        <v>5</v>
      </c>
      <c r="AR114" s="30" t="str" cm="1">
        <f t="array" ref="AR114">_xlfn.IFS(COUNTIF(Table14623576[[#This Row],[Phrases H]],"*H411*"), 5, TRUE, "")</f>
        <v/>
      </c>
      <c r="AS114" s="112">
        <f t="shared" si="53"/>
        <v>35</v>
      </c>
      <c r="AT114" s="144">
        <v>3.8299466959416359</v>
      </c>
      <c r="AU114" s="144">
        <v>222</v>
      </c>
      <c r="AV114" s="114">
        <f t="shared" si="41"/>
        <v>30</v>
      </c>
      <c r="AW114" s="115" t="str">
        <f t="shared" si="72"/>
        <v>0</v>
      </c>
      <c r="AX114" s="116">
        <f t="shared" si="61"/>
        <v>35</v>
      </c>
      <c r="AY114" s="117">
        <f t="shared" si="62"/>
        <v>0.41176470588235292</v>
      </c>
      <c r="AZ114" s="118" t="str">
        <f t="shared" si="54"/>
        <v>3</v>
      </c>
      <c r="BA114" s="119" t="str">
        <f t="shared" si="63"/>
        <v>3</v>
      </c>
      <c r="BB114" s="145"/>
      <c r="BC114" s="144">
        <v>1000</v>
      </c>
      <c r="BD114" s="113" t="s">
        <v>97</v>
      </c>
      <c r="BE114" s="120">
        <f t="shared" si="59"/>
        <v>15</v>
      </c>
      <c r="BF114" s="121" t="str">
        <f t="shared" si="55"/>
        <v>Production modérée</v>
      </c>
      <c r="BG114" s="122" t="str">
        <f t="shared" si="56"/>
        <v>C</v>
      </c>
      <c r="BH114" s="145"/>
      <c r="BI114" s="7"/>
      <c r="BJ114" s="5">
        <v>0</v>
      </c>
      <c r="BK114" s="7"/>
      <c r="BL114" s="131">
        <v>0</v>
      </c>
      <c r="BM114" s="132" t="s">
        <v>99</v>
      </c>
      <c r="BN114"/>
      <c r="BO114" s="60" t="str">
        <f t="shared" si="73"/>
        <v>Catégorie 3C NON</v>
      </c>
      <c r="BP114"/>
      <c r="BQ114" s="146" t="s">
        <v>88</v>
      </c>
      <c r="BR114"/>
      <c r="BS114" s="187" t="str">
        <f t="shared" si="64"/>
        <v>X</v>
      </c>
      <c r="BT114" s="19" t="str">
        <f t="shared" si="65"/>
        <v/>
      </c>
      <c r="BU114" s="19" t="str">
        <f t="shared" si="66"/>
        <v/>
      </c>
      <c r="BV114" s="10"/>
      <c r="BW114" s="5" t="str">
        <f t="shared" si="67"/>
        <v/>
      </c>
      <c r="BX114" s="5" t="str">
        <f t="shared" si="68"/>
        <v/>
      </c>
      <c r="BY114"/>
      <c r="BZ114" s="5" t="str">
        <f t="shared" si="69"/>
        <v>X</v>
      </c>
      <c r="CA114" s="5" t="str">
        <f t="shared" si="70"/>
        <v/>
      </c>
      <c r="CB114" s="188" t="str">
        <f t="shared" si="71"/>
        <v/>
      </c>
    </row>
    <row r="115" spans="1:80" s="22" customFormat="1" ht="30" customHeight="1" x14ac:dyDescent="0.55000000000000004">
      <c r="A115" s="141">
        <v>10</v>
      </c>
      <c r="B115" s="104" t="s">
        <v>1225</v>
      </c>
      <c r="C115" s="141" t="s">
        <v>1337</v>
      </c>
      <c r="D115" s="141" t="s">
        <v>1338</v>
      </c>
      <c r="E115" s="141" t="s">
        <v>1339</v>
      </c>
      <c r="F115" s="141" t="s">
        <v>1340</v>
      </c>
      <c r="G115" s="141" t="s">
        <v>1341</v>
      </c>
      <c r="H115" s="141" t="s">
        <v>1342</v>
      </c>
      <c r="I115" s="141" t="s">
        <v>88</v>
      </c>
      <c r="J115" s="141" t="s">
        <v>88</v>
      </c>
      <c r="K115" s="142" t="s">
        <v>88</v>
      </c>
      <c r="L115" s="142"/>
      <c r="M115" s="142"/>
      <c r="N115" s="142"/>
      <c r="O115" s="142"/>
      <c r="P115" s="142"/>
      <c r="Q115" s="142"/>
      <c r="R115" s="142"/>
      <c r="S115" s="142" t="s">
        <v>88</v>
      </c>
      <c r="T115" s="142"/>
      <c r="U115" s="142" t="s">
        <v>1343</v>
      </c>
      <c r="V115" s="142" t="s">
        <v>88</v>
      </c>
      <c r="W115" s="142" t="s">
        <v>1344</v>
      </c>
      <c r="X115" s="142" t="s">
        <v>1345</v>
      </c>
      <c r="Y115" s="142" t="s">
        <v>1346</v>
      </c>
      <c r="Z115" s="142">
        <v>6.61</v>
      </c>
      <c r="AA115" s="142"/>
      <c r="AB115" s="143">
        <f>LOG(77600)</f>
        <v>4.8898617212581881</v>
      </c>
      <c r="AC115" s="142" t="s">
        <v>1347</v>
      </c>
      <c r="AD115" s="142" t="s">
        <v>1348</v>
      </c>
      <c r="AE115" s="1"/>
      <c r="AF115" s="30" t="str" cm="1">
        <f t="array" ref="AF115">_xlfn.IFS(COUNTIF(Table14623576[[#This Row],[PBT/ vPvB]],"*X*"), 20, TRUE, "")</f>
        <v/>
      </c>
      <c r="AG115" s="30" t="str" cm="1">
        <f t="array" ref="AG115">_xlfn.IFS(COUNTIF(Table14623576[[#This Row],[Perturbateur Endocrinien]],"*X*"), 20, TRUE, "")</f>
        <v/>
      </c>
      <c r="AH115" s="30" t="str" cm="1">
        <f t="array" ref="AH115">_xlfn.IFS(COUNTIF(Table14623576[[#This Row],[Phrases H]],"*H350*"), 20, TRUE, "")</f>
        <v/>
      </c>
      <c r="AI115" s="30" t="str" cm="1">
        <f t="array" ref="AI115">_xlfn.IFS(COUNTIF(Table14623576[[#This Row],[Phrases H]],"*H360*"), 20, TRUE, "")</f>
        <v/>
      </c>
      <c r="AJ115" s="30" t="str" cm="1">
        <f t="array" ref="AJ115">_xlfn.IFS(COUNTIF(Table14623576[[#This Row],[Phrases H]],"*H340*"), 20, TRUE, "")</f>
        <v/>
      </c>
      <c r="AK115" s="30" t="str" cm="1">
        <f t="array" ref="AK115">_xlfn.IFS(COUNTIF(Table14623576[[#This Row],[Phrases H]],"*H351*"), 10, TRUE, "")</f>
        <v/>
      </c>
      <c r="AL115" s="30" cm="1">
        <f t="array" ref="AL115">_xlfn.IFS(COUNTIF(Table14623576[[#This Row],[Phrases H]],"*H361*"), 10, TRUE, "")</f>
        <v>10</v>
      </c>
      <c r="AM115" s="30" t="str" cm="1">
        <f t="array" ref="AM115">_xlfn.IFS(COUNTIF(Table14623576[[#This Row],[Phrases H]],"*H362*"), 10, TRUE, "")</f>
        <v/>
      </c>
      <c r="AN115" s="30" t="str" cm="1">
        <f t="array" ref="AN115">_xlfn.IFS(COUNTIF(Table14623576[[#This Row],[Phrases H]],"*H341*"), 10, TRUE, "")</f>
        <v/>
      </c>
      <c r="AO115" s="30" t="str" cm="1">
        <f t="array" ref="AO115">_xlfn.IFS(COUNTIF(Table14623576[[#This Row],[Phrases H]],"*H372*"), 10, TRUE, "")</f>
        <v/>
      </c>
      <c r="AP115" s="30" t="str" cm="1">
        <f t="array" ref="AP115">_xlfn.IFS(COUNTIF(Table14623576[[#This Row],[Phrases H]],"*H410*"), 10, TRUE, "")</f>
        <v/>
      </c>
      <c r="AQ115" s="30" t="str" cm="1">
        <f t="array" ref="AQ115">_xlfn.IFS(COUNTIF(Table14623576[[#This Row],[Phrases H]],"*H373*"), 5, TRUE, "")</f>
        <v/>
      </c>
      <c r="AR115" s="30" t="str" cm="1">
        <f t="array" ref="AR115">_xlfn.IFS(COUNTIF(Table14623576[[#This Row],[Phrases H]],"*H411*"), 5, TRUE, "")</f>
        <v/>
      </c>
      <c r="AS115" s="112">
        <f t="shared" si="53"/>
        <v>10</v>
      </c>
      <c r="AT115" s="144">
        <v>4.8898617212581881</v>
      </c>
      <c r="AU115" s="144">
        <v>0.155</v>
      </c>
      <c r="AV115" s="114">
        <f t="shared" si="41"/>
        <v>20</v>
      </c>
      <c r="AW115" s="115" t="str">
        <f t="shared" si="72"/>
        <v>0</v>
      </c>
      <c r="AX115" s="116">
        <f t="shared" si="61"/>
        <v>10</v>
      </c>
      <c r="AY115" s="117">
        <f t="shared" si="62"/>
        <v>0.11764705882352941</v>
      </c>
      <c r="AZ115" s="118" t="str">
        <f t="shared" si="54"/>
        <v>5</v>
      </c>
      <c r="BA115" s="119" t="str">
        <f t="shared" si="63"/>
        <v>5</v>
      </c>
      <c r="BB115" s="145"/>
      <c r="BC115" s="144" t="s">
        <v>88</v>
      </c>
      <c r="BD115" s="113" t="s">
        <v>97</v>
      </c>
      <c r="BE115" s="120">
        <f t="shared" si="59"/>
        <v>0</v>
      </c>
      <c r="BF115" s="121" t="str">
        <f t="shared" si="55"/>
        <v>N/A</v>
      </c>
      <c r="BG115" s="122" t="str">
        <f t="shared" si="56"/>
        <v>E</v>
      </c>
      <c r="BH115" s="145"/>
      <c r="BI115" s="7"/>
      <c r="BJ115" s="5">
        <v>0</v>
      </c>
      <c r="BK115" s="7"/>
      <c r="BL115" s="131">
        <v>0</v>
      </c>
      <c r="BM115" s="132" t="s">
        <v>99</v>
      </c>
      <c r="BN115"/>
      <c r="BO115" s="60" t="str">
        <f t="shared" si="73"/>
        <v>Catégorie 5E NON</v>
      </c>
      <c r="BP115"/>
      <c r="BQ115" s="146" t="s">
        <v>88</v>
      </c>
      <c r="BR115"/>
      <c r="BS115" s="187" t="str">
        <f t="shared" si="64"/>
        <v/>
      </c>
      <c r="BT115" s="19" t="str">
        <f t="shared" si="65"/>
        <v/>
      </c>
      <c r="BU115" s="19" t="str">
        <f t="shared" si="66"/>
        <v/>
      </c>
      <c r="BV115" s="10"/>
      <c r="BW115" s="5" t="str">
        <f t="shared" si="67"/>
        <v>X</v>
      </c>
      <c r="BX115" s="5" t="str">
        <f t="shared" si="68"/>
        <v/>
      </c>
      <c r="BY115"/>
      <c r="BZ115" s="5" t="str">
        <f t="shared" si="69"/>
        <v/>
      </c>
      <c r="CA115" s="5" t="str">
        <f t="shared" si="70"/>
        <v/>
      </c>
      <c r="CB115" s="188" t="str">
        <f t="shared" si="71"/>
        <v/>
      </c>
    </row>
    <row r="116" spans="1:80" s="22" customFormat="1" ht="30" customHeight="1" x14ac:dyDescent="0.55000000000000004">
      <c r="A116" s="141">
        <v>11</v>
      </c>
      <c r="B116" s="104" t="s">
        <v>1225</v>
      </c>
      <c r="C116" s="141" t="s">
        <v>1349</v>
      </c>
      <c r="D116" s="141" t="s">
        <v>1350</v>
      </c>
      <c r="E116" s="141" t="s">
        <v>1351</v>
      </c>
      <c r="F116" s="141" t="s">
        <v>1352</v>
      </c>
      <c r="G116" s="141" t="s">
        <v>1258</v>
      </c>
      <c r="H116" s="141" t="s">
        <v>1353</v>
      </c>
      <c r="I116" s="141" t="s">
        <v>88</v>
      </c>
      <c r="J116" s="141" t="s">
        <v>88</v>
      </c>
      <c r="K116" s="142" t="s">
        <v>88</v>
      </c>
      <c r="L116" s="142"/>
      <c r="M116" s="142"/>
      <c r="N116" s="142"/>
      <c r="O116" s="142"/>
      <c r="P116" s="142"/>
      <c r="Q116" s="142"/>
      <c r="R116" s="142"/>
      <c r="S116" s="142" t="s">
        <v>88</v>
      </c>
      <c r="T116" s="142"/>
      <c r="U116" s="142" t="s">
        <v>1354</v>
      </c>
      <c r="V116" s="142" t="s">
        <v>88</v>
      </c>
      <c r="W116" s="142" t="s">
        <v>1355</v>
      </c>
      <c r="X116" s="142" t="s">
        <v>1356</v>
      </c>
      <c r="Y116" s="147" t="s">
        <v>1357</v>
      </c>
      <c r="Z116" s="142">
        <v>1.8</v>
      </c>
      <c r="AA116" s="142"/>
      <c r="AB116" s="143">
        <f>LOG(513)</f>
        <v>2.7101173651118162</v>
      </c>
      <c r="AC116" s="142" t="s">
        <v>1358</v>
      </c>
      <c r="AD116" s="142" t="s">
        <v>1359</v>
      </c>
      <c r="AE116" s="1"/>
      <c r="AF116" s="30" t="str" cm="1">
        <f t="array" ref="AF116">_xlfn.IFS(COUNTIF(Table14623576[[#This Row],[PBT/ vPvB]],"*X*"), 20, TRUE, "")</f>
        <v/>
      </c>
      <c r="AG116" s="30" t="str" cm="1">
        <f t="array" ref="AG116">_xlfn.IFS(COUNTIF(Table14623576[[#This Row],[Perturbateur Endocrinien]],"*X*"), 20, TRUE, "")</f>
        <v/>
      </c>
      <c r="AH116" s="30" t="str" cm="1">
        <f t="array" ref="AH116">_xlfn.IFS(COUNTIF(Table14623576[[#This Row],[Phrases H]],"*H350*"), 20, TRUE, "")</f>
        <v/>
      </c>
      <c r="AI116" s="30" t="str" cm="1">
        <f t="array" ref="AI116">_xlfn.IFS(COUNTIF(Table14623576[[#This Row],[Phrases H]],"*H360*"), 20, TRUE, "")</f>
        <v/>
      </c>
      <c r="AJ116" s="30" t="str" cm="1">
        <f t="array" ref="AJ116">_xlfn.IFS(COUNTIF(Table14623576[[#This Row],[Phrases H]],"*H340*"), 20, TRUE, "")</f>
        <v/>
      </c>
      <c r="AK116" s="30" t="str" cm="1">
        <f t="array" ref="AK116">_xlfn.IFS(COUNTIF(Table14623576[[#This Row],[Phrases H]],"*H351*"), 10, TRUE, "")</f>
        <v/>
      </c>
      <c r="AL116" s="30" t="str" cm="1">
        <f t="array" ref="AL116">_xlfn.IFS(COUNTIF(Table14623576[[#This Row],[Phrases H]],"*H361*"), 10, TRUE, "")</f>
        <v/>
      </c>
      <c r="AM116" s="30" t="str" cm="1">
        <f t="array" ref="AM116">_xlfn.IFS(COUNTIF(Table14623576[[#This Row],[Phrases H]],"*H362*"), 10, TRUE, "")</f>
        <v/>
      </c>
      <c r="AN116" s="30" cm="1">
        <f t="array" ref="AN116">_xlfn.IFS(COUNTIF(Table14623576[[#This Row],[Phrases H]],"*H341*"), 10, TRUE, "")</f>
        <v>10</v>
      </c>
      <c r="AO116" s="30" t="str" cm="1">
        <f t="array" ref="AO116">_xlfn.IFS(COUNTIF(Table14623576[[#This Row],[Phrases H]],"*H372*"), 10, TRUE, "")</f>
        <v/>
      </c>
      <c r="AP116" s="30" t="str" cm="1">
        <f t="array" ref="AP116">_xlfn.IFS(COUNTIF(Table14623576[[#This Row],[Phrases H]],"*H410*"), 10, TRUE, "")</f>
        <v/>
      </c>
      <c r="AQ116" s="30" t="str" cm="1">
        <f t="array" ref="AQ116">_xlfn.IFS(COUNTIF(Table14623576[[#This Row],[Phrases H]],"*H373*"), 5, TRUE, "")</f>
        <v/>
      </c>
      <c r="AR116" s="30" t="str" cm="1">
        <f t="array" ref="AR116">_xlfn.IFS(COUNTIF(Table14623576[[#This Row],[Phrases H]],"*H411*"), 5, TRUE, "")</f>
        <v/>
      </c>
      <c r="AS116" s="112">
        <f t="shared" si="53"/>
        <v>10</v>
      </c>
      <c r="AT116" s="144">
        <v>2.7101173651118162</v>
      </c>
      <c r="AU116" s="144">
        <v>585.63</v>
      </c>
      <c r="AV116" s="114">
        <f t="shared" si="41"/>
        <v>30</v>
      </c>
      <c r="AW116" s="115" t="str">
        <f t="shared" si="72"/>
        <v>10</v>
      </c>
      <c r="AX116" s="116">
        <f t="shared" si="61"/>
        <v>20</v>
      </c>
      <c r="AY116" s="117">
        <f t="shared" si="62"/>
        <v>0.23529411764705882</v>
      </c>
      <c r="AZ116" s="118" t="str">
        <f t="shared" si="54"/>
        <v>4</v>
      </c>
      <c r="BA116" s="119" t="str">
        <f t="shared" si="63"/>
        <v>4</v>
      </c>
      <c r="BB116" s="145"/>
      <c r="BC116" s="144" t="s">
        <v>88</v>
      </c>
      <c r="BD116" s="113" t="s">
        <v>97</v>
      </c>
      <c r="BE116" s="120">
        <f t="shared" si="59"/>
        <v>0</v>
      </c>
      <c r="BF116" s="121" t="str">
        <f t="shared" si="55"/>
        <v>N/A</v>
      </c>
      <c r="BG116" s="122" t="str">
        <f t="shared" si="56"/>
        <v>E</v>
      </c>
      <c r="BH116" s="145"/>
      <c r="BI116" s="7"/>
      <c r="BJ116" s="5">
        <v>0</v>
      </c>
      <c r="BK116" s="7"/>
      <c r="BL116" s="131">
        <v>0</v>
      </c>
      <c r="BM116" s="132" t="s">
        <v>99</v>
      </c>
      <c r="BN116"/>
      <c r="BO116" s="60" t="str">
        <f t="shared" si="73"/>
        <v>Catégorie 4E NON</v>
      </c>
      <c r="BP116"/>
      <c r="BQ116" s="146" t="s">
        <v>88</v>
      </c>
      <c r="BR116"/>
      <c r="BS116" s="187" t="str">
        <f t="shared" si="64"/>
        <v/>
      </c>
      <c r="BT116" s="19" t="str">
        <f t="shared" si="65"/>
        <v/>
      </c>
      <c r="BU116" s="19" t="str">
        <f t="shared" si="66"/>
        <v/>
      </c>
      <c r="BV116" s="10"/>
      <c r="BW116" s="5" t="str">
        <f t="shared" si="67"/>
        <v>X</v>
      </c>
      <c r="BX116" s="5" t="str">
        <f t="shared" si="68"/>
        <v/>
      </c>
      <c r="BY116"/>
      <c r="BZ116" s="5" t="str">
        <f t="shared" si="69"/>
        <v/>
      </c>
      <c r="CA116" s="5" t="str">
        <f t="shared" si="70"/>
        <v/>
      </c>
      <c r="CB116" s="188" t="str">
        <f t="shared" si="71"/>
        <v/>
      </c>
    </row>
    <row r="117" spans="1:80" s="22" customFormat="1" ht="30" customHeight="1" x14ac:dyDescent="0.55000000000000004">
      <c r="A117" s="141">
        <v>12</v>
      </c>
      <c r="B117" s="104" t="s">
        <v>1225</v>
      </c>
      <c r="C117" s="141" t="s">
        <v>1360</v>
      </c>
      <c r="D117" s="141" t="s">
        <v>1361</v>
      </c>
      <c r="E117" s="141" t="s">
        <v>1362</v>
      </c>
      <c r="F117" s="141" t="s">
        <v>1363</v>
      </c>
      <c r="G117" s="141" t="s">
        <v>1364</v>
      </c>
      <c r="H117" s="141" t="s">
        <v>1365</v>
      </c>
      <c r="I117" s="141" t="s">
        <v>88</v>
      </c>
      <c r="J117" s="141" t="s">
        <v>88</v>
      </c>
      <c r="K117" s="142" t="s">
        <v>1366</v>
      </c>
      <c r="L117" s="142"/>
      <c r="M117" s="142"/>
      <c r="N117" s="142"/>
      <c r="O117" s="142"/>
      <c r="P117" s="142"/>
      <c r="Q117" s="142"/>
      <c r="R117" s="142"/>
      <c r="S117" s="142" t="s">
        <v>1274</v>
      </c>
      <c r="T117" s="142" t="s">
        <v>85</v>
      </c>
      <c r="U117" s="142" t="s">
        <v>1367</v>
      </c>
      <c r="V117" s="142" t="s">
        <v>88</v>
      </c>
      <c r="W117" s="142" t="s">
        <v>1368</v>
      </c>
      <c r="X117" s="142" t="s">
        <v>1333</v>
      </c>
      <c r="Y117" s="142" t="s">
        <v>1369</v>
      </c>
      <c r="Z117" s="142">
        <v>4.12</v>
      </c>
      <c r="AA117" s="142" t="s">
        <v>351</v>
      </c>
      <c r="AB117" s="143">
        <f>LOG(4990)</f>
        <v>3.6981005456233897</v>
      </c>
      <c r="AC117" s="142" t="s">
        <v>1370</v>
      </c>
      <c r="AD117" s="142" t="s">
        <v>1371</v>
      </c>
      <c r="AE117" s="1"/>
      <c r="AF117" s="30" t="str" cm="1">
        <f t="array" ref="AF117">_xlfn.IFS(COUNTIF(Table14623576[[#This Row],[PBT/ vPvB]],"*X*"), 20, TRUE, "")</f>
        <v/>
      </c>
      <c r="AG117" s="30" cm="1">
        <f t="array" ref="AG117">_xlfn.IFS(COUNTIF(Table14623576[[#This Row],[Perturbateur Endocrinien]],"*X*"), 20, TRUE, "")</f>
        <v>20</v>
      </c>
      <c r="AH117" s="30" t="str" cm="1">
        <f t="array" ref="AH117">_xlfn.IFS(COUNTIF(Table14623576[[#This Row],[Phrases H]],"*H350*"), 20, TRUE, "")</f>
        <v/>
      </c>
      <c r="AI117" s="30" t="str" cm="1">
        <f t="array" ref="AI117">_xlfn.IFS(COUNTIF(Table14623576[[#This Row],[Phrases H]],"*H360*"), 20, TRUE, "")</f>
        <v/>
      </c>
      <c r="AJ117" s="30" t="str" cm="1">
        <f t="array" ref="AJ117">_xlfn.IFS(COUNTIF(Table14623576[[#This Row],[Phrases H]],"*H340*"), 20, TRUE, "")</f>
        <v/>
      </c>
      <c r="AK117" s="30" t="str" cm="1">
        <f t="array" ref="AK117">_xlfn.IFS(COUNTIF(Table14623576[[#This Row],[Phrases H]],"*H351*"), 10, TRUE, "")</f>
        <v/>
      </c>
      <c r="AL117" s="30" t="str" cm="1">
        <f t="array" ref="AL117">_xlfn.IFS(COUNTIF(Table14623576[[#This Row],[Phrases H]],"*H361*"), 10, TRUE, "")</f>
        <v/>
      </c>
      <c r="AM117" s="30" t="str" cm="1">
        <f t="array" ref="AM117">_xlfn.IFS(COUNTIF(Table14623576[[#This Row],[Phrases H]],"*H362*"), 10, TRUE, "")</f>
        <v/>
      </c>
      <c r="AN117" s="30" t="str" cm="1">
        <f t="array" ref="AN117">_xlfn.IFS(COUNTIF(Table14623576[[#This Row],[Phrases H]],"*H341*"), 10, TRUE, "")</f>
        <v/>
      </c>
      <c r="AO117" s="30" t="str" cm="1">
        <f t="array" ref="AO117">_xlfn.IFS(COUNTIF(Table14623576[[#This Row],[Phrases H]],"*H372*"), 10, TRUE, "")</f>
        <v/>
      </c>
      <c r="AP117" s="30" cm="1">
        <f t="array" ref="AP117">_xlfn.IFS(COUNTIF(Table14623576[[#This Row],[Phrases H]],"*H410*"), 10, TRUE, "")</f>
        <v>10</v>
      </c>
      <c r="AQ117" s="30" t="str" cm="1">
        <f t="array" ref="AQ117">_xlfn.IFS(COUNTIF(Table14623576[[#This Row],[Phrases H]],"*H373*"), 5, TRUE, "")</f>
        <v/>
      </c>
      <c r="AR117" s="30" t="str" cm="1">
        <f t="array" ref="AR117">_xlfn.IFS(COUNTIF(Table14623576[[#This Row],[Phrases H]],"*H411*"), 5, TRUE, "")</f>
        <v/>
      </c>
      <c r="AS117" s="112">
        <f t="shared" si="53"/>
        <v>30</v>
      </c>
      <c r="AT117" s="144">
        <v>3.6981005456233897</v>
      </c>
      <c r="AU117" s="144">
        <v>31.1</v>
      </c>
      <c r="AV117" s="114">
        <f t="shared" si="41"/>
        <v>30</v>
      </c>
      <c r="AW117" s="115" t="str">
        <f t="shared" si="72"/>
        <v>0</v>
      </c>
      <c r="AX117" s="116">
        <f t="shared" si="61"/>
        <v>30</v>
      </c>
      <c r="AY117" s="117">
        <f t="shared" si="62"/>
        <v>0.35294117647058826</v>
      </c>
      <c r="AZ117" s="118" t="str">
        <f t="shared" si="54"/>
        <v>4</v>
      </c>
      <c r="BA117" s="119" t="str">
        <f t="shared" si="63"/>
        <v>4</v>
      </c>
      <c r="BB117" s="145"/>
      <c r="BC117" s="144">
        <v>1000</v>
      </c>
      <c r="BD117" s="113" t="s">
        <v>97</v>
      </c>
      <c r="BE117" s="120">
        <f t="shared" si="59"/>
        <v>15</v>
      </c>
      <c r="BF117" s="121" t="str">
        <f t="shared" si="55"/>
        <v>Production modérée</v>
      </c>
      <c r="BG117" s="122" t="str">
        <f t="shared" si="56"/>
        <v>C</v>
      </c>
      <c r="BH117" s="145"/>
      <c r="BI117" s="7"/>
      <c r="BJ117" s="5">
        <v>0</v>
      </c>
      <c r="BK117" s="7"/>
      <c r="BL117" s="131">
        <v>0</v>
      </c>
      <c r="BM117" s="132" t="s">
        <v>99</v>
      </c>
      <c r="BN117"/>
      <c r="BO117" s="60" t="str">
        <f t="shared" si="73"/>
        <v>Catégorie 4C NON</v>
      </c>
      <c r="BP117"/>
      <c r="BQ117" s="146" t="s">
        <v>88</v>
      </c>
      <c r="BR117"/>
      <c r="BS117" s="187" t="str">
        <f t="shared" si="64"/>
        <v/>
      </c>
      <c r="BT117" s="19" t="str">
        <f t="shared" si="65"/>
        <v/>
      </c>
      <c r="BU117" s="19" t="str">
        <f t="shared" si="66"/>
        <v/>
      </c>
      <c r="BV117" s="10"/>
      <c r="BW117" s="5" t="str">
        <f t="shared" si="67"/>
        <v/>
      </c>
      <c r="BX117" s="5" t="str">
        <f t="shared" si="68"/>
        <v/>
      </c>
      <c r="BY117"/>
      <c r="BZ117" s="5" t="str">
        <f t="shared" si="69"/>
        <v/>
      </c>
      <c r="CA117" s="5" t="str">
        <f t="shared" si="70"/>
        <v/>
      </c>
      <c r="CB117" s="188" t="str">
        <f t="shared" si="71"/>
        <v/>
      </c>
    </row>
    <row r="118" spans="1:80" s="22" customFormat="1" ht="30" customHeight="1" x14ac:dyDescent="0.55000000000000004">
      <c r="A118" s="141">
        <v>13</v>
      </c>
      <c r="B118" s="104" t="s">
        <v>1225</v>
      </c>
      <c r="C118" s="141" t="s">
        <v>1372</v>
      </c>
      <c r="D118" s="141" t="s">
        <v>1373</v>
      </c>
      <c r="E118" s="141" t="s">
        <v>1374</v>
      </c>
      <c r="F118" s="141" t="s">
        <v>1375</v>
      </c>
      <c r="G118" s="141" t="s">
        <v>1376</v>
      </c>
      <c r="H118" s="141" t="s">
        <v>1377</v>
      </c>
      <c r="I118" s="141" t="s">
        <v>88</v>
      </c>
      <c r="J118" s="141" t="s">
        <v>88</v>
      </c>
      <c r="K118" s="142" t="s">
        <v>379</v>
      </c>
      <c r="L118" s="142"/>
      <c r="M118" s="142"/>
      <c r="N118" s="142"/>
      <c r="O118" s="142"/>
      <c r="P118" s="142"/>
      <c r="Q118" s="142"/>
      <c r="R118" s="142"/>
      <c r="S118" s="142" t="s">
        <v>1274</v>
      </c>
      <c r="T118" s="142" t="s">
        <v>85</v>
      </c>
      <c r="U118" s="142" t="s">
        <v>236</v>
      </c>
      <c r="V118" s="142" t="s">
        <v>88</v>
      </c>
      <c r="W118" s="142" t="s">
        <v>1378</v>
      </c>
      <c r="X118" s="142" t="s">
        <v>1333</v>
      </c>
      <c r="Y118" s="142" t="s">
        <v>1379</v>
      </c>
      <c r="Z118" s="142">
        <v>4.51</v>
      </c>
      <c r="AA118" s="142" t="s">
        <v>1299</v>
      </c>
      <c r="AB118" s="143">
        <v>2.92</v>
      </c>
      <c r="AC118" s="142" t="s">
        <v>1380</v>
      </c>
      <c r="AD118" s="142" t="s">
        <v>1381</v>
      </c>
      <c r="AE118" s="1"/>
      <c r="AF118" s="30" t="str" cm="1">
        <f t="array" ref="AF118">_xlfn.IFS(COUNTIF(Table14623576[[#This Row],[PBT/ vPvB]],"*X*"), 20, TRUE, "")</f>
        <v/>
      </c>
      <c r="AG118" s="30" cm="1">
        <f t="array" ref="AG118">_xlfn.IFS(COUNTIF(Table14623576[[#This Row],[Perturbateur Endocrinien]],"*X*"), 20, TRUE, "")</f>
        <v>20</v>
      </c>
      <c r="AH118" s="30" t="str" cm="1">
        <f t="array" ref="AH118">_xlfn.IFS(COUNTIF(Table14623576[[#This Row],[Phrases H]],"*H350*"), 20, TRUE, "")</f>
        <v/>
      </c>
      <c r="AI118" s="30" t="str" cm="1">
        <f t="array" ref="AI118">_xlfn.IFS(COUNTIF(Table14623576[[#This Row],[Phrases H]],"*H360*"), 20, TRUE, "")</f>
        <v/>
      </c>
      <c r="AJ118" s="30" t="str" cm="1">
        <f t="array" ref="AJ118">_xlfn.IFS(COUNTIF(Table14623576[[#This Row],[Phrases H]],"*H340*"), 20, TRUE, "")</f>
        <v/>
      </c>
      <c r="AK118" s="30" t="str" cm="1">
        <f t="array" ref="AK118">_xlfn.IFS(COUNTIF(Table14623576[[#This Row],[Phrases H]],"*H351*"), 10, TRUE, "")</f>
        <v/>
      </c>
      <c r="AL118" s="30" t="str" cm="1">
        <f t="array" ref="AL118">_xlfn.IFS(COUNTIF(Table14623576[[#This Row],[Phrases H]],"*H361*"), 10, TRUE, "")</f>
        <v/>
      </c>
      <c r="AM118" s="30" t="str" cm="1">
        <f t="array" ref="AM118">_xlfn.IFS(COUNTIF(Table14623576[[#This Row],[Phrases H]],"*H362*"), 10, TRUE, "")</f>
        <v/>
      </c>
      <c r="AN118" s="30" t="str" cm="1">
        <f t="array" ref="AN118">_xlfn.IFS(COUNTIF(Table14623576[[#This Row],[Phrases H]],"*H341*"), 10, TRUE, "")</f>
        <v/>
      </c>
      <c r="AO118" s="30" t="str" cm="1">
        <f t="array" ref="AO118">_xlfn.IFS(COUNTIF(Table14623576[[#This Row],[Phrases H]],"*H372*"), 10, TRUE, "")</f>
        <v/>
      </c>
      <c r="AP118" s="30" t="str" cm="1">
        <f t="array" ref="AP118">_xlfn.IFS(COUNTIF(Table14623576[[#This Row],[Phrases H]],"*H410*"), 10, TRUE, "")</f>
        <v/>
      </c>
      <c r="AQ118" s="30" t="str" cm="1">
        <f t="array" ref="AQ118">_xlfn.IFS(COUNTIF(Table14623576[[#This Row],[Phrases H]],"*H373*"), 5, TRUE, "")</f>
        <v/>
      </c>
      <c r="AR118" s="30" t="str" cm="1">
        <f t="array" ref="AR118">_xlfn.IFS(COUNTIF(Table14623576[[#This Row],[Phrases H]],"*H411*"), 5, TRUE, "")</f>
        <v/>
      </c>
      <c r="AS118" s="112">
        <f t="shared" si="53"/>
        <v>20</v>
      </c>
      <c r="AT118" s="144">
        <v>2.92</v>
      </c>
      <c r="AU118" s="144">
        <v>3.17</v>
      </c>
      <c r="AV118" s="114">
        <f t="shared" si="41"/>
        <v>20</v>
      </c>
      <c r="AW118" s="115" t="str">
        <f t="shared" si="72"/>
        <v>10</v>
      </c>
      <c r="AX118" s="116">
        <f t="shared" si="61"/>
        <v>30</v>
      </c>
      <c r="AY118" s="117">
        <f t="shared" si="62"/>
        <v>0.35294117647058826</v>
      </c>
      <c r="AZ118" s="118" t="str">
        <f t="shared" si="54"/>
        <v>4</v>
      </c>
      <c r="BA118" s="119" t="str">
        <f t="shared" si="63"/>
        <v>4</v>
      </c>
      <c r="BB118" s="145"/>
      <c r="BC118" s="144">
        <v>100</v>
      </c>
      <c r="BD118" s="113" t="s">
        <v>97</v>
      </c>
      <c r="BE118" s="120">
        <f t="shared" si="59"/>
        <v>10</v>
      </c>
      <c r="BF118" s="121" t="str">
        <f t="shared" si="55"/>
        <v>Faible production</v>
      </c>
      <c r="BG118" s="122" t="str">
        <f t="shared" si="56"/>
        <v>D</v>
      </c>
      <c r="BH118" s="145"/>
      <c r="BI118" s="7"/>
      <c r="BJ118" s="5">
        <v>0</v>
      </c>
      <c r="BK118" s="7"/>
      <c r="BL118" s="131">
        <v>0</v>
      </c>
      <c r="BM118" s="132" t="s">
        <v>99</v>
      </c>
      <c r="BN118"/>
      <c r="BO118" s="60" t="str">
        <f t="shared" si="73"/>
        <v>Catégorie 4D NON</v>
      </c>
      <c r="BP118"/>
      <c r="BQ118" s="146" t="s">
        <v>88</v>
      </c>
      <c r="BR118"/>
      <c r="BS118" s="187" t="str">
        <f t="shared" si="64"/>
        <v/>
      </c>
      <c r="BT118" s="19" t="str">
        <f t="shared" si="65"/>
        <v/>
      </c>
      <c r="BU118" s="19" t="str">
        <f t="shared" si="66"/>
        <v/>
      </c>
      <c r="BV118" s="10"/>
      <c r="BW118" s="5" t="str">
        <f t="shared" si="67"/>
        <v>X</v>
      </c>
      <c r="BX118" s="5" t="str">
        <f t="shared" si="68"/>
        <v/>
      </c>
      <c r="BY118"/>
      <c r="BZ118" s="5" t="str">
        <f t="shared" si="69"/>
        <v/>
      </c>
      <c r="CA118" s="5" t="str">
        <f t="shared" si="70"/>
        <v/>
      </c>
      <c r="CB118" s="188" t="str">
        <f t="shared" si="71"/>
        <v/>
      </c>
    </row>
    <row r="119" spans="1:80" s="22" customFormat="1" ht="30" customHeight="1" x14ac:dyDescent="0.55000000000000004">
      <c r="A119" s="141">
        <v>14</v>
      </c>
      <c r="B119" s="104" t="s">
        <v>1225</v>
      </c>
      <c r="C119" s="141" t="s">
        <v>1382</v>
      </c>
      <c r="D119" s="141"/>
      <c r="E119" s="141" t="s">
        <v>1383</v>
      </c>
      <c r="F119" s="141" t="s">
        <v>1384</v>
      </c>
      <c r="G119" s="141" t="s">
        <v>1385</v>
      </c>
      <c r="H119" s="141" t="s">
        <v>1386</v>
      </c>
      <c r="I119" s="141" t="s">
        <v>88</v>
      </c>
      <c r="J119" s="141" t="s">
        <v>88</v>
      </c>
      <c r="K119" s="142" t="s">
        <v>186</v>
      </c>
      <c r="L119" s="142"/>
      <c r="M119" s="142"/>
      <c r="N119" s="142"/>
      <c r="O119" s="142"/>
      <c r="P119" s="142"/>
      <c r="Q119" s="142"/>
      <c r="R119" s="142"/>
      <c r="S119" s="142" t="s">
        <v>1274</v>
      </c>
      <c r="T119" s="142" t="s">
        <v>85</v>
      </c>
      <c r="U119" s="142" t="s">
        <v>108</v>
      </c>
      <c r="V119" s="142" t="s">
        <v>88</v>
      </c>
      <c r="W119" s="142" t="s">
        <v>1387</v>
      </c>
      <c r="X119" s="142" t="s">
        <v>1333</v>
      </c>
      <c r="Y119" s="142" t="s">
        <v>1388</v>
      </c>
      <c r="Z119" s="142">
        <v>4.63</v>
      </c>
      <c r="AA119" s="142"/>
      <c r="AB119" s="143">
        <f>LOG(9550)</f>
        <v>3.9800033715837464</v>
      </c>
      <c r="AC119" s="142" t="s">
        <v>1389</v>
      </c>
      <c r="AD119" s="142" t="s">
        <v>1390</v>
      </c>
      <c r="AE119" s="1"/>
      <c r="AF119" s="30" t="str" cm="1">
        <f t="array" ref="AF119">_xlfn.IFS(COUNTIF(Table14623576[[#This Row],[PBT/ vPvB]],"*X*"), 20, TRUE, "")</f>
        <v/>
      </c>
      <c r="AG119" s="30" cm="1">
        <f t="array" ref="AG119">_xlfn.IFS(COUNTIF(Table14623576[[#This Row],[Perturbateur Endocrinien]],"*X*"), 20, TRUE, "")</f>
        <v>20</v>
      </c>
      <c r="AH119" s="30" t="str" cm="1">
        <f t="array" ref="AH119">_xlfn.IFS(COUNTIF(Table14623576[[#This Row],[Phrases H]],"*H350*"), 20, TRUE, "")</f>
        <v/>
      </c>
      <c r="AI119" s="30" t="str" cm="1">
        <f t="array" ref="AI119">_xlfn.IFS(COUNTIF(Table14623576[[#This Row],[Phrases H]],"*H360*"), 20, TRUE, "")</f>
        <v/>
      </c>
      <c r="AJ119" s="30" t="str" cm="1">
        <f t="array" ref="AJ119">_xlfn.IFS(COUNTIF(Table14623576[[#This Row],[Phrases H]],"*H340*"), 20, TRUE, "")</f>
        <v/>
      </c>
      <c r="AK119" s="30" t="str" cm="1">
        <f t="array" ref="AK119">_xlfn.IFS(COUNTIF(Table14623576[[#This Row],[Phrases H]],"*H351*"), 10, TRUE, "")</f>
        <v/>
      </c>
      <c r="AL119" s="30" t="str" cm="1">
        <f t="array" ref="AL119">_xlfn.IFS(COUNTIF(Table14623576[[#This Row],[Phrases H]],"*H361*"), 10, TRUE, "")</f>
        <v/>
      </c>
      <c r="AM119" s="30" t="str" cm="1">
        <f t="array" ref="AM119">_xlfn.IFS(COUNTIF(Table14623576[[#This Row],[Phrases H]],"*H362*"), 10, TRUE, "")</f>
        <v/>
      </c>
      <c r="AN119" s="30" t="str" cm="1">
        <f t="array" ref="AN119">_xlfn.IFS(COUNTIF(Table14623576[[#This Row],[Phrases H]],"*H341*"), 10, TRUE, "")</f>
        <v/>
      </c>
      <c r="AO119" s="30" t="str" cm="1">
        <f t="array" ref="AO119">_xlfn.IFS(COUNTIF(Table14623576[[#This Row],[Phrases H]],"*H372*"), 10, TRUE, "")</f>
        <v/>
      </c>
      <c r="AP119" s="30" t="str" cm="1">
        <f t="array" ref="AP119">_xlfn.IFS(COUNTIF(Table14623576[[#This Row],[Phrases H]],"*H410*"), 10, TRUE, "")</f>
        <v/>
      </c>
      <c r="AQ119" s="30" t="str" cm="1">
        <f t="array" ref="AQ119">_xlfn.IFS(COUNTIF(Table14623576[[#This Row],[Phrases H]],"*H373*"), 5, TRUE, "")</f>
        <v/>
      </c>
      <c r="AR119" s="30" t="str" cm="1">
        <f t="array" ref="AR119">_xlfn.IFS(COUNTIF(Table14623576[[#This Row],[Phrases H]],"*H411*"), 5, TRUE, "")</f>
        <v/>
      </c>
      <c r="AS119" s="112">
        <f t="shared" si="53"/>
        <v>20</v>
      </c>
      <c r="AT119" s="144">
        <v>3.9800033715837464</v>
      </c>
      <c r="AU119" s="144">
        <v>3.5000000000000001E-3</v>
      </c>
      <c r="AV119" s="114">
        <f t="shared" si="41"/>
        <v>10</v>
      </c>
      <c r="AW119" s="115" t="str">
        <f t="shared" si="72"/>
        <v>0</v>
      </c>
      <c r="AX119" s="116">
        <f t="shared" si="61"/>
        <v>20</v>
      </c>
      <c r="AY119" s="117">
        <f t="shared" si="62"/>
        <v>0.23529411764705882</v>
      </c>
      <c r="AZ119" s="118" t="str">
        <f t="shared" si="54"/>
        <v>4</v>
      </c>
      <c r="BA119" s="119" t="str">
        <f t="shared" si="63"/>
        <v>4</v>
      </c>
      <c r="BB119" s="145"/>
      <c r="BC119" s="144">
        <v>10</v>
      </c>
      <c r="BD119" s="113" t="s">
        <v>97</v>
      </c>
      <c r="BE119" s="120">
        <f t="shared" si="59"/>
        <v>5</v>
      </c>
      <c r="BF119" s="121" t="str">
        <f t="shared" si="55"/>
        <v>Très faible production</v>
      </c>
      <c r="BG119" s="122" t="str">
        <f t="shared" si="56"/>
        <v>E</v>
      </c>
      <c r="BH119" s="145"/>
      <c r="BI119" s="7"/>
      <c r="BJ119" s="5">
        <v>0</v>
      </c>
      <c r="BK119" s="7"/>
      <c r="BL119" s="131">
        <v>0</v>
      </c>
      <c r="BM119" s="132" t="s">
        <v>99</v>
      </c>
      <c r="BN119"/>
      <c r="BO119" s="60" t="str">
        <f t="shared" si="73"/>
        <v>Catégorie 4E NON</v>
      </c>
      <c r="BP119"/>
      <c r="BQ119" s="146" t="s">
        <v>88</v>
      </c>
      <c r="BR119"/>
      <c r="BS119" s="187" t="str">
        <f t="shared" si="64"/>
        <v/>
      </c>
      <c r="BT119" s="19" t="str">
        <f t="shared" si="65"/>
        <v/>
      </c>
      <c r="BU119" s="19" t="str">
        <f t="shared" si="66"/>
        <v/>
      </c>
      <c r="BV119" s="10"/>
      <c r="BW119" s="5" t="str">
        <f t="shared" si="67"/>
        <v>X</v>
      </c>
      <c r="BX119" s="5" t="str">
        <f t="shared" si="68"/>
        <v/>
      </c>
      <c r="BY119"/>
      <c r="BZ119" s="5" t="str">
        <f t="shared" si="69"/>
        <v/>
      </c>
      <c r="CA119" s="5" t="str">
        <f t="shared" si="70"/>
        <v/>
      </c>
      <c r="CB119" s="188" t="str">
        <f t="shared" si="71"/>
        <v/>
      </c>
    </row>
    <row r="120" spans="1:80" s="22" customFormat="1" ht="30" customHeight="1" x14ac:dyDescent="0.55000000000000004">
      <c r="A120" s="141">
        <v>15</v>
      </c>
      <c r="B120" s="104" t="s">
        <v>1225</v>
      </c>
      <c r="C120" s="141" t="s">
        <v>1391</v>
      </c>
      <c r="D120" s="141" t="s">
        <v>1392</v>
      </c>
      <c r="E120" s="141" t="s">
        <v>1393</v>
      </c>
      <c r="F120" s="141" t="s">
        <v>1394</v>
      </c>
      <c r="G120" s="141" t="s">
        <v>1395</v>
      </c>
      <c r="H120" s="141" t="s">
        <v>1396</v>
      </c>
      <c r="I120" s="141" t="s">
        <v>88</v>
      </c>
      <c r="J120" s="141" t="s">
        <v>88</v>
      </c>
      <c r="K120" s="142" t="s">
        <v>186</v>
      </c>
      <c r="L120" s="142"/>
      <c r="M120" s="142"/>
      <c r="N120" s="142"/>
      <c r="O120" s="142"/>
      <c r="P120" s="142"/>
      <c r="Q120" s="142"/>
      <c r="R120" s="142"/>
      <c r="S120" s="142" t="s">
        <v>1274</v>
      </c>
      <c r="T120" s="142" t="s">
        <v>85</v>
      </c>
      <c r="U120" s="142" t="s">
        <v>1397</v>
      </c>
      <c r="V120" s="142" t="s">
        <v>88</v>
      </c>
      <c r="W120" s="142" t="s">
        <v>1398</v>
      </c>
      <c r="X120" s="142" t="s">
        <v>1399</v>
      </c>
      <c r="Y120" s="142" t="s">
        <v>176</v>
      </c>
      <c r="Z120" s="142">
        <v>6.87</v>
      </c>
      <c r="AA120" s="142"/>
      <c r="AB120" s="143">
        <f>LOG(31600)</f>
        <v>4.4996870826184034</v>
      </c>
      <c r="AC120" s="142" t="s">
        <v>1400</v>
      </c>
      <c r="AD120" s="142" t="s">
        <v>1401</v>
      </c>
      <c r="AE120" s="1"/>
      <c r="AF120" s="30" t="str" cm="1">
        <f t="array" ref="AF120">_xlfn.IFS(COUNTIF(Table14623576[[#This Row],[PBT/ vPvB]],"*X*"), 20, TRUE, "")</f>
        <v/>
      </c>
      <c r="AG120" s="30" cm="1">
        <f t="array" ref="AG120">_xlfn.IFS(COUNTIF(Table14623576[[#This Row],[Perturbateur Endocrinien]],"*X*"), 20, TRUE, "")</f>
        <v>20</v>
      </c>
      <c r="AH120" s="30" t="str" cm="1">
        <f t="array" ref="AH120">_xlfn.IFS(COUNTIF(Table14623576[[#This Row],[Phrases H]],"*H350*"), 20, TRUE, "")</f>
        <v/>
      </c>
      <c r="AI120" s="30" t="str" cm="1">
        <f t="array" ref="AI120">_xlfn.IFS(COUNTIF(Table14623576[[#This Row],[Phrases H]],"*H360*"), 20, TRUE, "")</f>
        <v/>
      </c>
      <c r="AJ120" s="30" t="str" cm="1">
        <f t="array" ref="AJ120">_xlfn.IFS(COUNTIF(Table14623576[[#This Row],[Phrases H]],"*H340*"), 20, TRUE, "")</f>
        <v/>
      </c>
      <c r="AK120" s="30" t="str" cm="1">
        <f t="array" ref="AK120">_xlfn.IFS(COUNTIF(Table14623576[[#This Row],[Phrases H]],"*H351*"), 10, TRUE, "")</f>
        <v/>
      </c>
      <c r="AL120" s="30" t="str" cm="1">
        <f t="array" ref="AL120">_xlfn.IFS(COUNTIF(Table14623576[[#This Row],[Phrases H]],"*H361*"), 10, TRUE, "")</f>
        <v/>
      </c>
      <c r="AM120" s="30" t="str" cm="1">
        <f t="array" ref="AM120">_xlfn.IFS(COUNTIF(Table14623576[[#This Row],[Phrases H]],"*H362*"), 10, TRUE, "")</f>
        <v/>
      </c>
      <c r="AN120" s="30" t="str" cm="1">
        <f t="array" ref="AN120">_xlfn.IFS(COUNTIF(Table14623576[[#This Row],[Phrases H]],"*H341*"), 10, TRUE, "")</f>
        <v/>
      </c>
      <c r="AO120" s="30" t="str" cm="1">
        <f t="array" ref="AO120">_xlfn.IFS(COUNTIF(Table14623576[[#This Row],[Phrases H]],"*H372*"), 10, TRUE, "")</f>
        <v/>
      </c>
      <c r="AP120" s="30" t="str" cm="1">
        <f t="array" ref="AP120">_xlfn.IFS(COUNTIF(Table14623576[[#This Row],[Phrases H]],"*H410*"), 10, TRUE, "")</f>
        <v/>
      </c>
      <c r="AQ120" s="30" t="str" cm="1">
        <f t="array" ref="AQ120">_xlfn.IFS(COUNTIF(Table14623576[[#This Row],[Phrases H]],"*H373*"), 5, TRUE, "")</f>
        <v/>
      </c>
      <c r="AR120" s="30" t="str" cm="1">
        <f t="array" ref="AR120">_xlfn.IFS(COUNTIF(Table14623576[[#This Row],[Phrases H]],"*H411*"), 5, TRUE, "")</f>
        <v/>
      </c>
      <c r="AS120" s="112">
        <f t="shared" si="53"/>
        <v>20</v>
      </c>
      <c r="AT120" s="144">
        <v>4.4996870826184034</v>
      </c>
      <c r="AU120" s="144">
        <v>7.2000000000000002E-5</v>
      </c>
      <c r="AV120" s="114">
        <f t="shared" si="41"/>
        <v>10</v>
      </c>
      <c r="AW120" s="115" t="str">
        <f t="shared" si="72"/>
        <v>0</v>
      </c>
      <c r="AX120" s="116">
        <f t="shared" si="61"/>
        <v>20</v>
      </c>
      <c r="AY120" s="117">
        <f t="shared" si="62"/>
        <v>0.23529411764705882</v>
      </c>
      <c r="AZ120" s="118" t="str">
        <f t="shared" si="54"/>
        <v>4</v>
      </c>
      <c r="BA120" s="119" t="str">
        <f t="shared" si="63"/>
        <v>4</v>
      </c>
      <c r="BB120" s="145"/>
      <c r="BC120" s="144">
        <v>10</v>
      </c>
      <c r="BD120" s="113" t="s">
        <v>97</v>
      </c>
      <c r="BE120" s="120">
        <f t="shared" si="59"/>
        <v>5</v>
      </c>
      <c r="BF120" s="121" t="str">
        <f t="shared" si="55"/>
        <v>Très faible production</v>
      </c>
      <c r="BG120" s="122" t="str">
        <f t="shared" si="56"/>
        <v>E</v>
      </c>
      <c r="BH120" s="145"/>
      <c r="BI120" s="7"/>
      <c r="BJ120" s="5">
        <v>0</v>
      </c>
      <c r="BK120" s="7"/>
      <c r="BL120" s="131">
        <v>0</v>
      </c>
      <c r="BM120" s="132" t="s">
        <v>99</v>
      </c>
      <c r="BN120"/>
      <c r="BO120" s="60" t="str">
        <f t="shared" si="73"/>
        <v>Catégorie 4E NON</v>
      </c>
      <c r="BP120"/>
      <c r="BQ120" s="146" t="s">
        <v>88</v>
      </c>
      <c r="BR120"/>
      <c r="BS120" s="187" t="str">
        <f t="shared" si="64"/>
        <v/>
      </c>
      <c r="BT120" s="19" t="str">
        <f t="shared" si="65"/>
        <v/>
      </c>
      <c r="BU120" s="19" t="str">
        <f t="shared" si="66"/>
        <v/>
      </c>
      <c r="BV120" s="10"/>
      <c r="BW120" s="5" t="str">
        <f t="shared" si="67"/>
        <v>X</v>
      </c>
      <c r="BX120" s="5" t="str">
        <f t="shared" si="68"/>
        <v/>
      </c>
      <c r="BY120"/>
      <c r="BZ120" s="5" t="str">
        <f t="shared" si="69"/>
        <v/>
      </c>
      <c r="CA120" s="5" t="str">
        <f t="shared" si="70"/>
        <v/>
      </c>
      <c r="CB120" s="188" t="str">
        <f t="shared" si="71"/>
        <v/>
      </c>
    </row>
    <row r="121" spans="1:80" s="22" customFormat="1" ht="30" customHeight="1" x14ac:dyDescent="0.55000000000000004">
      <c r="A121" s="141">
        <v>16</v>
      </c>
      <c r="B121" s="104" t="s">
        <v>1225</v>
      </c>
      <c r="C121" s="141" t="s">
        <v>1402</v>
      </c>
      <c r="D121" s="141" t="s">
        <v>1403</v>
      </c>
      <c r="E121" s="141" t="s">
        <v>1404</v>
      </c>
      <c r="F121" s="141" t="s">
        <v>1405</v>
      </c>
      <c r="G121" s="141" t="s">
        <v>88</v>
      </c>
      <c r="H121" s="141" t="s">
        <v>88</v>
      </c>
      <c r="I121" s="141" t="s">
        <v>88</v>
      </c>
      <c r="J121" s="141" t="s">
        <v>88</v>
      </c>
      <c r="K121" s="142" t="s">
        <v>304</v>
      </c>
      <c r="L121" s="142"/>
      <c r="M121" s="142"/>
      <c r="N121" s="142"/>
      <c r="O121" s="142"/>
      <c r="P121" s="142"/>
      <c r="Q121" s="142"/>
      <c r="R121" s="142"/>
      <c r="S121" s="142" t="s">
        <v>1406</v>
      </c>
      <c r="T121" s="142"/>
      <c r="U121" s="142" t="s">
        <v>1407</v>
      </c>
      <c r="V121" s="142" t="s">
        <v>88</v>
      </c>
      <c r="W121" s="142" t="s">
        <v>1408</v>
      </c>
      <c r="X121" s="142" t="s">
        <v>1409</v>
      </c>
      <c r="Y121" s="142" t="s">
        <v>88</v>
      </c>
      <c r="Z121" s="142">
        <v>3.6</v>
      </c>
      <c r="AA121" s="142"/>
      <c r="AB121" s="142" t="s">
        <v>1410</v>
      </c>
      <c r="AC121" s="142" t="s">
        <v>88</v>
      </c>
      <c r="AD121" s="142" t="s">
        <v>1411</v>
      </c>
      <c r="AE121" s="1"/>
      <c r="AF121" s="30" t="str" cm="1">
        <f t="array" ref="AF121">_xlfn.IFS(COUNTIF(Table14623576[[#This Row],[PBT/ vPvB]],"*X*"), 20, TRUE, "")</f>
        <v/>
      </c>
      <c r="AG121" s="30" t="str" cm="1">
        <f t="array" ref="AG121">_xlfn.IFS(COUNTIF(Table14623576[[#This Row],[Perturbateur Endocrinien]],"*X*"), 20, TRUE, "")</f>
        <v/>
      </c>
      <c r="AH121" s="30" t="str" cm="1">
        <f t="array" ref="AH121">_xlfn.IFS(COUNTIF(Table14623576[[#This Row],[Phrases H]],"*H350*"), 20, TRUE, "")</f>
        <v/>
      </c>
      <c r="AI121" s="30" t="str" cm="1">
        <f t="array" ref="AI121">_xlfn.IFS(COUNTIF(Table14623576[[#This Row],[Phrases H]],"*H360*"), 20, TRUE, "")</f>
        <v/>
      </c>
      <c r="AJ121" s="30" t="str" cm="1">
        <f t="array" ref="AJ121">_xlfn.IFS(COUNTIF(Table14623576[[#This Row],[Phrases H]],"*H340*"), 20, TRUE, "")</f>
        <v/>
      </c>
      <c r="AK121" s="30" t="str" cm="1">
        <f t="array" ref="AK121">_xlfn.IFS(COUNTIF(Table14623576[[#This Row],[Phrases H]],"*H351*"), 10, TRUE, "")</f>
        <v/>
      </c>
      <c r="AL121" s="30" cm="1">
        <f t="array" ref="AL121">_xlfn.IFS(COUNTIF(Table14623576[[#This Row],[Phrases H]],"*H361*"), 10, TRUE, "")</f>
        <v>10</v>
      </c>
      <c r="AM121" s="30" t="str" cm="1">
        <f t="array" ref="AM121">_xlfn.IFS(COUNTIF(Table14623576[[#This Row],[Phrases H]],"*H362*"), 10, TRUE, "")</f>
        <v/>
      </c>
      <c r="AN121" s="30" t="str" cm="1">
        <f t="array" ref="AN121">_xlfn.IFS(COUNTIF(Table14623576[[#This Row],[Phrases H]],"*H341*"), 10, TRUE, "")</f>
        <v/>
      </c>
      <c r="AO121" s="30" t="str" cm="1">
        <f t="array" ref="AO121">_xlfn.IFS(COUNTIF(Table14623576[[#This Row],[Phrases H]],"*H372*"), 10, TRUE, "")</f>
        <v/>
      </c>
      <c r="AP121" s="30" t="str" cm="1">
        <f t="array" ref="AP121">_xlfn.IFS(COUNTIF(Table14623576[[#This Row],[Phrases H]],"*H410*"), 10, TRUE, "")</f>
        <v/>
      </c>
      <c r="AQ121" s="30" t="str" cm="1">
        <f t="array" ref="AQ121">_xlfn.IFS(COUNTIF(Table14623576[[#This Row],[Phrases H]],"*H373*"), 5, TRUE, "")</f>
        <v/>
      </c>
      <c r="AR121" s="30" cm="1">
        <f t="array" ref="AR121">_xlfn.IFS(COUNTIF(Table14623576[[#This Row],[Phrases H]],"*H411*"), 5, TRUE, "")</f>
        <v>5</v>
      </c>
      <c r="AS121" s="112">
        <f t="shared" si="53"/>
        <v>15</v>
      </c>
      <c r="AT121" s="144">
        <v>2.8</v>
      </c>
      <c r="AU121" s="144">
        <v>1000</v>
      </c>
      <c r="AV121" s="114">
        <f t="shared" si="41"/>
        <v>40</v>
      </c>
      <c r="AW121" s="115" t="str">
        <f t="shared" si="72"/>
        <v>10</v>
      </c>
      <c r="AX121" s="116">
        <f t="shared" si="61"/>
        <v>25</v>
      </c>
      <c r="AY121" s="117">
        <f t="shared" si="62"/>
        <v>0.29411764705882354</v>
      </c>
      <c r="AZ121" s="118" t="str">
        <f t="shared" si="54"/>
        <v>4</v>
      </c>
      <c r="BA121" s="119" t="str">
        <f t="shared" si="63"/>
        <v>4</v>
      </c>
      <c r="BB121" s="145"/>
      <c r="BC121" s="144">
        <v>10000</v>
      </c>
      <c r="BD121" s="113" t="s">
        <v>97</v>
      </c>
      <c r="BE121" s="120">
        <f t="shared" si="59"/>
        <v>20</v>
      </c>
      <c r="BF121" s="121" t="str">
        <f t="shared" si="55"/>
        <v>Production élevée</v>
      </c>
      <c r="BG121" s="122" t="str">
        <f t="shared" si="56"/>
        <v>B</v>
      </c>
      <c r="BH121" s="145"/>
      <c r="BI121" s="7"/>
      <c r="BJ121" s="5">
        <v>0</v>
      </c>
      <c r="BK121" s="7"/>
      <c r="BL121" s="131">
        <v>0</v>
      </c>
      <c r="BM121" s="132" t="s">
        <v>99</v>
      </c>
      <c r="BN121"/>
      <c r="BO121" s="60" t="str">
        <f t="shared" si="73"/>
        <v>Catégorie 4B NON</v>
      </c>
      <c r="BP121"/>
      <c r="BQ121" s="146" t="s">
        <v>88</v>
      </c>
      <c r="BR121"/>
      <c r="BS121" s="187" t="str">
        <f t="shared" si="64"/>
        <v/>
      </c>
      <c r="BT121" s="19" t="str">
        <f t="shared" si="65"/>
        <v/>
      </c>
      <c r="BU121" s="19" t="str">
        <f t="shared" si="66"/>
        <v/>
      </c>
      <c r="BV121" s="10"/>
      <c r="BW121" s="5" t="str">
        <f t="shared" si="67"/>
        <v/>
      </c>
      <c r="BX121" s="5" t="str">
        <f t="shared" si="68"/>
        <v/>
      </c>
      <c r="BY121"/>
      <c r="BZ121" s="5" t="str">
        <f t="shared" si="69"/>
        <v/>
      </c>
      <c r="CA121" s="5" t="str">
        <f t="shared" si="70"/>
        <v/>
      </c>
      <c r="CB121" s="188" t="str">
        <f t="shared" si="71"/>
        <v/>
      </c>
    </row>
    <row r="122" spans="1:80" s="22" customFormat="1" ht="30" customHeight="1" x14ac:dyDescent="0.55000000000000004">
      <c r="A122" s="141">
        <v>17</v>
      </c>
      <c r="B122" s="104" t="s">
        <v>1225</v>
      </c>
      <c r="C122" s="141" t="s">
        <v>1412</v>
      </c>
      <c r="D122" s="141"/>
      <c r="E122" s="141" t="s">
        <v>1413</v>
      </c>
      <c r="F122" s="141" t="s">
        <v>1414</v>
      </c>
      <c r="G122" s="141" t="s">
        <v>88</v>
      </c>
      <c r="H122" s="141" t="s">
        <v>88</v>
      </c>
      <c r="I122" s="141" t="s">
        <v>88</v>
      </c>
      <c r="J122" s="141" t="s">
        <v>88</v>
      </c>
      <c r="K122" s="142" t="s">
        <v>379</v>
      </c>
      <c r="L122" s="142"/>
      <c r="M122" s="142"/>
      <c r="N122" s="142"/>
      <c r="O122" s="142"/>
      <c r="P122" s="142"/>
      <c r="Q122" s="142"/>
      <c r="R122" s="142"/>
      <c r="S122" s="142" t="s">
        <v>1274</v>
      </c>
      <c r="T122" s="142"/>
      <c r="U122" s="142" t="s">
        <v>1415</v>
      </c>
      <c r="V122" s="142" t="s">
        <v>88</v>
      </c>
      <c r="W122" s="142" t="s">
        <v>1416</v>
      </c>
      <c r="X122" s="142" t="s">
        <v>1417</v>
      </c>
      <c r="Y122" s="142" t="s">
        <v>88</v>
      </c>
      <c r="Z122" s="142" t="s">
        <v>88</v>
      </c>
      <c r="AA122" s="142"/>
      <c r="AB122" s="142" t="s">
        <v>88</v>
      </c>
      <c r="AC122" s="142" t="s">
        <v>88</v>
      </c>
      <c r="AD122" s="142" t="s">
        <v>1418</v>
      </c>
      <c r="AE122" s="1"/>
      <c r="AF122" s="30" t="str" cm="1">
        <f t="array" ref="AF122">_xlfn.IFS(COUNTIF(Table14623576[[#This Row],[PBT/ vPvB]],"*X*"), 20, TRUE, "")</f>
        <v/>
      </c>
      <c r="AG122" s="30" t="str" cm="1">
        <f t="array" ref="AG122">_xlfn.IFS(COUNTIF(Table14623576[[#This Row],[Perturbateur Endocrinien]],"*X*"), 20, TRUE, "")</f>
        <v/>
      </c>
      <c r="AH122" s="30" t="str" cm="1">
        <f t="array" ref="AH122">_xlfn.IFS(COUNTIF(Table14623576[[#This Row],[Phrases H]],"*H350*"), 20, TRUE, "")</f>
        <v/>
      </c>
      <c r="AI122" s="30" t="str" cm="1">
        <f t="array" ref="AI122">_xlfn.IFS(COUNTIF(Table14623576[[#This Row],[Phrases H]],"*H360*"), 20, TRUE, "")</f>
        <v/>
      </c>
      <c r="AJ122" s="30" t="str" cm="1">
        <f t="array" ref="AJ122">_xlfn.IFS(COUNTIF(Table14623576[[#This Row],[Phrases H]],"*H340*"), 20, TRUE, "")</f>
        <v/>
      </c>
      <c r="AK122" s="30" t="str" cm="1">
        <f t="array" ref="AK122">_xlfn.IFS(COUNTIF(Table14623576[[#This Row],[Phrases H]],"*H351*"), 10, TRUE, "")</f>
        <v/>
      </c>
      <c r="AL122" s="30" cm="1">
        <f t="array" ref="AL122">_xlfn.IFS(COUNTIF(Table14623576[[#This Row],[Phrases H]],"*H361*"), 10, TRUE, "")</f>
        <v>10</v>
      </c>
      <c r="AM122" s="30" t="str" cm="1">
        <f t="array" ref="AM122">_xlfn.IFS(COUNTIF(Table14623576[[#This Row],[Phrases H]],"*H362*"), 10, TRUE, "")</f>
        <v/>
      </c>
      <c r="AN122" s="30" t="str" cm="1">
        <f t="array" ref="AN122">_xlfn.IFS(COUNTIF(Table14623576[[#This Row],[Phrases H]],"*H341*"), 10, TRUE, "")</f>
        <v/>
      </c>
      <c r="AO122" s="30" t="str" cm="1">
        <f t="array" ref="AO122">_xlfn.IFS(COUNTIF(Table14623576[[#This Row],[Phrases H]],"*H372*"), 10, TRUE, "")</f>
        <v/>
      </c>
      <c r="AP122" s="30" t="str" cm="1">
        <f t="array" ref="AP122">_xlfn.IFS(COUNTIF(Table14623576[[#This Row],[Phrases H]],"*H410*"), 10, TRUE, "")</f>
        <v/>
      </c>
      <c r="AQ122" s="30" t="str" cm="1">
        <f t="array" ref="AQ122">_xlfn.IFS(COUNTIF(Table14623576[[#This Row],[Phrases H]],"*H373*"), 5, TRUE, "")</f>
        <v/>
      </c>
      <c r="AR122" s="30" t="str" cm="1">
        <f t="array" ref="AR122">_xlfn.IFS(COUNTIF(Table14623576[[#This Row],[Phrases H]],"*H411*"), 5, TRUE, "")</f>
        <v/>
      </c>
      <c r="AS122" s="112">
        <f t="shared" si="53"/>
        <v>10</v>
      </c>
      <c r="AT122" s="144" t="s">
        <v>88</v>
      </c>
      <c r="AU122" s="144">
        <v>4940</v>
      </c>
      <c r="AV122" s="114">
        <f t="shared" si="41"/>
        <v>40</v>
      </c>
      <c r="AW122" s="115">
        <f>IF(OR(AV122=30,AV122=40),10,IF(AV122=50,20,"0"))</f>
        <v>10</v>
      </c>
      <c r="AX122" s="116">
        <f t="shared" si="61"/>
        <v>20</v>
      </c>
      <c r="AY122" s="117">
        <f t="shared" si="62"/>
        <v>0.23529411764705882</v>
      </c>
      <c r="AZ122" s="118" t="str">
        <f t="shared" si="54"/>
        <v>4</v>
      </c>
      <c r="BA122" s="119" t="str">
        <f t="shared" si="63"/>
        <v>4</v>
      </c>
      <c r="BB122" s="145"/>
      <c r="BC122" s="144">
        <v>100</v>
      </c>
      <c r="BD122" s="113" t="s">
        <v>97</v>
      </c>
      <c r="BE122" s="120">
        <f t="shared" si="59"/>
        <v>10</v>
      </c>
      <c r="BF122" s="121" t="str">
        <f t="shared" si="55"/>
        <v>Faible production</v>
      </c>
      <c r="BG122" s="122" t="str">
        <f t="shared" si="56"/>
        <v>D</v>
      </c>
      <c r="BH122" s="145"/>
      <c r="BI122" s="7"/>
      <c r="BJ122" s="5">
        <v>0</v>
      </c>
      <c r="BK122" s="7"/>
      <c r="BL122" s="131">
        <v>0</v>
      </c>
      <c r="BM122" s="132" t="s">
        <v>99</v>
      </c>
      <c r="BN122"/>
      <c r="BO122" s="60" t="str">
        <f t="shared" si="73"/>
        <v>Catégorie 4D NON</v>
      </c>
      <c r="BP122"/>
      <c r="BQ122" s="146" t="s">
        <v>88</v>
      </c>
      <c r="BR122"/>
      <c r="BS122" s="187" t="str">
        <f t="shared" si="64"/>
        <v/>
      </c>
      <c r="BT122" s="19" t="str">
        <f t="shared" si="65"/>
        <v/>
      </c>
      <c r="BU122" s="19" t="str">
        <f t="shared" si="66"/>
        <v/>
      </c>
      <c r="BV122" s="10"/>
      <c r="BW122" s="5" t="str">
        <f t="shared" si="67"/>
        <v>X</v>
      </c>
      <c r="BX122" s="5" t="str">
        <f t="shared" si="68"/>
        <v/>
      </c>
      <c r="BY122"/>
      <c r="BZ122" s="5" t="str">
        <f t="shared" si="69"/>
        <v/>
      </c>
      <c r="CA122" s="5" t="str">
        <f t="shared" si="70"/>
        <v/>
      </c>
      <c r="CB122" s="188" t="str">
        <f t="shared" si="71"/>
        <v/>
      </c>
    </row>
    <row r="123" spans="1:80" s="22" customFormat="1" ht="30" customHeight="1" x14ac:dyDescent="0.55000000000000004">
      <c r="A123" s="141">
        <v>18</v>
      </c>
      <c r="B123" s="104" t="s">
        <v>1225</v>
      </c>
      <c r="C123" s="141" t="s">
        <v>1419</v>
      </c>
      <c r="D123" s="141"/>
      <c r="E123" s="141" t="s">
        <v>1420</v>
      </c>
      <c r="F123" s="141" t="s">
        <v>1421</v>
      </c>
      <c r="G123" s="141" t="s">
        <v>88</v>
      </c>
      <c r="H123" s="141" t="s">
        <v>88</v>
      </c>
      <c r="I123" s="141" t="s">
        <v>88</v>
      </c>
      <c r="J123" s="141" t="s">
        <v>88</v>
      </c>
      <c r="K123" s="142" t="s">
        <v>1422</v>
      </c>
      <c r="L123" s="142"/>
      <c r="M123" s="142"/>
      <c r="N123" s="142"/>
      <c r="O123" s="142"/>
      <c r="P123" s="142"/>
      <c r="Q123" s="142"/>
      <c r="R123" s="142"/>
      <c r="S123" s="142" t="s">
        <v>1274</v>
      </c>
      <c r="T123" s="142"/>
      <c r="U123" s="142" t="s">
        <v>1423</v>
      </c>
      <c r="V123" s="142" t="s">
        <v>88</v>
      </c>
      <c r="W123" s="142" t="s">
        <v>1424</v>
      </c>
      <c r="X123" s="142" t="s">
        <v>1425</v>
      </c>
      <c r="Y123" s="142" t="s">
        <v>1426</v>
      </c>
      <c r="Z123" s="142">
        <v>-0.9</v>
      </c>
      <c r="AA123" s="142" t="s">
        <v>1427</v>
      </c>
      <c r="AB123" s="143">
        <f>LOG(12.86)</f>
        <v>1.1092409685882032</v>
      </c>
      <c r="AC123" s="142" t="s">
        <v>1428</v>
      </c>
      <c r="AD123" s="142" t="s">
        <v>1429</v>
      </c>
      <c r="AE123" s="1"/>
      <c r="AF123" s="30" t="str" cm="1">
        <f t="array" ref="AF123">_xlfn.IFS(COUNTIF(Table14623576[[#This Row],[PBT/ vPvB]],"*X*"), 20, TRUE, "")</f>
        <v/>
      </c>
      <c r="AG123" s="30" t="str" cm="1">
        <f t="array" ref="AG123">_xlfn.IFS(COUNTIF(Table14623576[[#This Row],[Perturbateur Endocrinien]],"*X*"), 20, TRUE, "")</f>
        <v/>
      </c>
      <c r="AH123" s="30" t="str" cm="1">
        <f t="array" ref="AH123">_xlfn.IFS(COUNTIF(Table14623576[[#This Row],[Phrases H]],"*H350*"), 20, TRUE, "")</f>
        <v/>
      </c>
      <c r="AI123" s="30" cm="1">
        <f t="array" ref="AI123">_xlfn.IFS(COUNTIF(Table14623576[[#This Row],[Phrases H]],"*H360*"), 20, TRUE, "")</f>
        <v>20</v>
      </c>
      <c r="AJ123" s="30" t="str" cm="1">
        <f t="array" ref="AJ123">_xlfn.IFS(COUNTIF(Table14623576[[#This Row],[Phrases H]],"*H340*"), 20, TRUE, "")</f>
        <v/>
      </c>
      <c r="AK123" s="30" t="str" cm="1">
        <f t="array" ref="AK123">_xlfn.IFS(COUNTIF(Table14623576[[#This Row],[Phrases H]],"*H351*"), 10, TRUE, "")</f>
        <v/>
      </c>
      <c r="AL123" s="30" t="str" cm="1">
        <f t="array" ref="AL123">_xlfn.IFS(COUNTIF(Table14623576[[#This Row],[Phrases H]],"*H361*"), 10, TRUE, "")</f>
        <v/>
      </c>
      <c r="AM123" s="30" t="str" cm="1">
        <f t="array" ref="AM123">_xlfn.IFS(COUNTIF(Table14623576[[#This Row],[Phrases H]],"*H362*"), 10, TRUE, "")</f>
        <v/>
      </c>
      <c r="AN123" s="30" t="str" cm="1">
        <f t="array" ref="AN123">_xlfn.IFS(COUNTIF(Table14623576[[#This Row],[Phrases H]],"*H341*"), 10, TRUE, "")</f>
        <v/>
      </c>
      <c r="AO123" s="30" t="str" cm="1">
        <f t="array" ref="AO123">_xlfn.IFS(COUNTIF(Table14623576[[#This Row],[Phrases H]],"*H372*"), 10, TRUE, "")</f>
        <v/>
      </c>
      <c r="AP123" s="30" t="str" cm="1">
        <f t="array" ref="AP123">_xlfn.IFS(COUNTIF(Table14623576[[#This Row],[Phrases H]],"*H410*"), 10, TRUE, "")</f>
        <v/>
      </c>
      <c r="AQ123" s="30" t="str" cm="1">
        <f t="array" ref="AQ123">_xlfn.IFS(COUNTIF(Table14623576[[#This Row],[Phrases H]],"*H373*"), 5, TRUE, "")</f>
        <v/>
      </c>
      <c r="AR123" s="30" t="str" cm="1">
        <f t="array" ref="AR123">_xlfn.IFS(COUNTIF(Table14623576[[#This Row],[Phrases H]],"*H411*"), 5, TRUE, "")</f>
        <v/>
      </c>
      <c r="AS123" s="112">
        <f t="shared" si="53"/>
        <v>20</v>
      </c>
      <c r="AT123" s="144">
        <v>1.1092409685882032</v>
      </c>
      <c r="AU123" s="144">
        <v>1000000</v>
      </c>
      <c r="AV123" s="114">
        <f t="shared" si="41"/>
        <v>50</v>
      </c>
      <c r="AW123" s="115" t="str">
        <f t="shared" ref="AW123:AW146" si="74">IF(AT123="0","0",IF(AT123&lt;2,"20",IF(AT123&lt;3,"10","0")))</f>
        <v>20</v>
      </c>
      <c r="AX123" s="116">
        <f t="shared" si="61"/>
        <v>40</v>
      </c>
      <c r="AY123" s="117">
        <f t="shared" si="62"/>
        <v>0.47058823529411764</v>
      </c>
      <c r="AZ123" s="118" t="str">
        <f t="shared" si="54"/>
        <v>3</v>
      </c>
      <c r="BA123" s="119" t="str">
        <f t="shared" si="63"/>
        <v>3</v>
      </c>
      <c r="BB123" s="145"/>
      <c r="BC123" s="144">
        <v>100</v>
      </c>
      <c r="BD123" s="113" t="s">
        <v>97</v>
      </c>
      <c r="BE123" s="120">
        <f t="shared" si="59"/>
        <v>10</v>
      </c>
      <c r="BF123" s="121" t="str">
        <f t="shared" si="55"/>
        <v>Faible production</v>
      </c>
      <c r="BG123" s="122" t="str">
        <f t="shared" si="56"/>
        <v>D</v>
      </c>
      <c r="BH123" s="145"/>
      <c r="BI123" s="7"/>
      <c r="BJ123" s="5">
        <v>0</v>
      </c>
      <c r="BK123" s="7"/>
      <c r="BL123" s="131">
        <v>0</v>
      </c>
      <c r="BM123" s="132" t="s">
        <v>99</v>
      </c>
      <c r="BN123"/>
      <c r="BO123" s="60" t="str">
        <f t="shared" si="73"/>
        <v>Catégorie 3D NON</v>
      </c>
      <c r="BP123"/>
      <c r="BQ123" s="146" t="s">
        <v>88</v>
      </c>
      <c r="BR123"/>
      <c r="BS123" s="187" t="str">
        <f t="shared" si="64"/>
        <v>X</v>
      </c>
      <c r="BT123" s="19" t="str">
        <f t="shared" si="65"/>
        <v/>
      </c>
      <c r="BU123" s="19" t="str">
        <f t="shared" si="66"/>
        <v/>
      </c>
      <c r="BV123" s="10"/>
      <c r="BW123" s="5" t="str">
        <f t="shared" si="67"/>
        <v>X</v>
      </c>
      <c r="BX123" s="5" t="str">
        <f t="shared" si="68"/>
        <v/>
      </c>
      <c r="BY123"/>
      <c r="BZ123" s="5" t="str">
        <f t="shared" si="69"/>
        <v/>
      </c>
      <c r="CA123" s="5" t="str">
        <f t="shared" si="70"/>
        <v/>
      </c>
      <c r="CB123" s="188" t="str">
        <f t="shared" si="71"/>
        <v/>
      </c>
    </row>
    <row r="124" spans="1:80" s="22" customFormat="1" ht="30" customHeight="1" x14ac:dyDescent="0.55000000000000004">
      <c r="A124" s="141">
        <v>19</v>
      </c>
      <c r="B124" s="104" t="s">
        <v>1225</v>
      </c>
      <c r="C124" s="141" t="s">
        <v>1430</v>
      </c>
      <c r="D124" s="141" t="s">
        <v>1431</v>
      </c>
      <c r="E124" s="141" t="s">
        <v>1432</v>
      </c>
      <c r="F124" s="141" t="s">
        <v>1433</v>
      </c>
      <c r="G124" s="141" t="s">
        <v>1434</v>
      </c>
      <c r="H124" s="141" t="s">
        <v>1435</v>
      </c>
      <c r="I124" s="141" t="s">
        <v>88</v>
      </c>
      <c r="J124" s="141" t="s">
        <v>88</v>
      </c>
      <c r="K124" s="142" t="s">
        <v>1436</v>
      </c>
      <c r="L124" s="142"/>
      <c r="M124" s="142"/>
      <c r="N124" s="142"/>
      <c r="O124" s="142"/>
      <c r="P124" s="142"/>
      <c r="Q124" s="142"/>
      <c r="R124" s="142"/>
      <c r="S124" s="142" t="s">
        <v>1274</v>
      </c>
      <c r="T124" s="142"/>
      <c r="U124" s="142" t="s">
        <v>1437</v>
      </c>
      <c r="V124" s="142" t="s">
        <v>88</v>
      </c>
      <c r="W124" s="142" t="s">
        <v>1438</v>
      </c>
      <c r="X124" s="142" t="s">
        <v>1333</v>
      </c>
      <c r="Y124" s="142" t="s">
        <v>1439</v>
      </c>
      <c r="Z124" s="142">
        <v>5.3</v>
      </c>
      <c r="AA124" s="142" t="s">
        <v>1440</v>
      </c>
      <c r="AB124" s="143">
        <f>LOG(5010)</f>
        <v>3.6998377258672459</v>
      </c>
      <c r="AC124" s="142" t="s">
        <v>1441</v>
      </c>
      <c r="AD124" s="142" t="s">
        <v>1442</v>
      </c>
      <c r="AE124" s="1"/>
      <c r="AF124" s="30" t="str" cm="1">
        <f t="array" ref="AF124">_xlfn.IFS(COUNTIF(Table14623576[[#This Row],[PBT/ vPvB]],"*X*"), 20, TRUE, "")</f>
        <v/>
      </c>
      <c r="AG124" s="30" t="str" cm="1">
        <f t="array" ref="AG124">_xlfn.IFS(COUNTIF(Table14623576[[#This Row],[Perturbateur Endocrinien]],"*X*"), 20, TRUE, "")</f>
        <v/>
      </c>
      <c r="AH124" s="30" t="str" cm="1">
        <f t="array" ref="AH124">_xlfn.IFS(COUNTIF(Table14623576[[#This Row],[Phrases H]],"*H350*"), 20, TRUE, "")</f>
        <v/>
      </c>
      <c r="AI124" s="30" t="str" cm="1">
        <f t="array" ref="AI124">_xlfn.IFS(COUNTIF(Table14623576[[#This Row],[Phrases H]],"*H360*"), 20, TRUE, "")</f>
        <v/>
      </c>
      <c r="AJ124" s="30" t="str" cm="1">
        <f t="array" ref="AJ124">_xlfn.IFS(COUNTIF(Table14623576[[#This Row],[Phrases H]],"*H340*"), 20, TRUE, "")</f>
        <v/>
      </c>
      <c r="AK124" s="30" t="str" cm="1">
        <f t="array" ref="AK124">_xlfn.IFS(COUNTIF(Table14623576[[#This Row],[Phrases H]],"*H351*"), 10, TRUE, "")</f>
        <v/>
      </c>
      <c r="AL124" s="30" t="str" cm="1">
        <f t="array" ref="AL124">_xlfn.IFS(COUNTIF(Table14623576[[#This Row],[Phrases H]],"*H361*"), 10, TRUE, "")</f>
        <v/>
      </c>
      <c r="AM124" s="30" t="str" cm="1">
        <f t="array" ref="AM124">_xlfn.IFS(COUNTIF(Table14623576[[#This Row],[Phrases H]],"*H362*"), 10, TRUE, "")</f>
        <v/>
      </c>
      <c r="AN124" s="30" t="str" cm="1">
        <f t="array" ref="AN124">_xlfn.IFS(COUNTIF(Table14623576[[#This Row],[Phrases H]],"*H341*"), 10, TRUE, "")</f>
        <v/>
      </c>
      <c r="AO124" s="30" t="str" cm="1">
        <f t="array" ref="AO124">_xlfn.IFS(COUNTIF(Table14623576[[#This Row],[Phrases H]],"*H372*"), 10, TRUE, "")</f>
        <v/>
      </c>
      <c r="AP124" s="30" cm="1">
        <f t="array" ref="AP124">_xlfn.IFS(COUNTIF(Table14623576[[#This Row],[Phrases H]],"*H410*"), 10, TRUE, "")</f>
        <v>10</v>
      </c>
      <c r="AQ124" s="30" cm="1">
        <f t="array" ref="AQ124">_xlfn.IFS(COUNTIF(Table14623576[[#This Row],[Phrases H]],"*H373*"), 5, TRUE, "")</f>
        <v>5</v>
      </c>
      <c r="AR124" s="30" t="str" cm="1">
        <f t="array" ref="AR124">_xlfn.IFS(COUNTIF(Table14623576[[#This Row],[Phrases H]],"*H411*"), 5, TRUE, "")</f>
        <v/>
      </c>
      <c r="AS124" s="112">
        <f t="shared" si="53"/>
        <v>15</v>
      </c>
      <c r="AT124" s="144">
        <v>3.6998377258672459</v>
      </c>
      <c r="AU124" s="144">
        <v>1.6</v>
      </c>
      <c r="AV124" s="114">
        <f t="shared" si="41"/>
        <v>20</v>
      </c>
      <c r="AW124" s="115" t="str">
        <f t="shared" si="74"/>
        <v>0</v>
      </c>
      <c r="AX124" s="116">
        <f t="shared" si="61"/>
        <v>15</v>
      </c>
      <c r="AY124" s="117">
        <f t="shared" si="62"/>
        <v>0.17647058823529413</v>
      </c>
      <c r="AZ124" s="118" t="str">
        <f t="shared" si="54"/>
        <v>5</v>
      </c>
      <c r="BA124" s="119" t="str">
        <f t="shared" si="63"/>
        <v>5</v>
      </c>
      <c r="BB124" s="145"/>
      <c r="BC124" s="144" t="s">
        <v>88</v>
      </c>
      <c r="BD124" s="113" t="s">
        <v>97</v>
      </c>
      <c r="BE124" s="120">
        <f t="shared" si="59"/>
        <v>0</v>
      </c>
      <c r="BF124" s="121" t="str">
        <f t="shared" si="55"/>
        <v>N/A</v>
      </c>
      <c r="BG124" s="122" t="str">
        <f t="shared" si="56"/>
        <v>E</v>
      </c>
      <c r="BH124" s="145"/>
      <c r="BI124" s="7"/>
      <c r="BJ124" s="5">
        <v>0</v>
      </c>
      <c r="BK124" s="7"/>
      <c r="BL124" s="131">
        <v>0</v>
      </c>
      <c r="BM124" s="132" t="s">
        <v>99</v>
      </c>
      <c r="BN124"/>
      <c r="BO124" s="60" t="str">
        <f t="shared" si="73"/>
        <v>Catégorie 5E NON</v>
      </c>
      <c r="BP124"/>
      <c r="BQ124" s="146" t="s">
        <v>88</v>
      </c>
      <c r="BR124"/>
      <c r="BS124" s="187" t="str">
        <f t="shared" si="64"/>
        <v/>
      </c>
      <c r="BT124" s="19" t="str">
        <f t="shared" si="65"/>
        <v/>
      </c>
      <c r="BU124" s="19" t="str">
        <f t="shared" si="66"/>
        <v/>
      </c>
      <c r="BV124" s="10"/>
      <c r="BW124" s="5" t="str">
        <f t="shared" si="67"/>
        <v>X</v>
      </c>
      <c r="BX124" s="5" t="str">
        <f t="shared" si="68"/>
        <v/>
      </c>
      <c r="BY124"/>
      <c r="BZ124" s="5" t="str">
        <f t="shared" si="69"/>
        <v/>
      </c>
      <c r="CA124" s="5" t="str">
        <f t="shared" si="70"/>
        <v/>
      </c>
      <c r="CB124" s="188" t="str">
        <f t="shared" si="71"/>
        <v/>
      </c>
    </row>
    <row r="125" spans="1:80" s="22" customFormat="1" ht="30" customHeight="1" x14ac:dyDescent="0.55000000000000004">
      <c r="A125" s="141">
        <v>20</v>
      </c>
      <c r="B125" s="104" t="s">
        <v>1225</v>
      </c>
      <c r="C125" s="141" t="s">
        <v>1443</v>
      </c>
      <c r="D125" s="148" t="s">
        <v>77</v>
      </c>
      <c r="E125" s="141" t="s">
        <v>1444</v>
      </c>
      <c r="F125" s="141" t="s">
        <v>1445</v>
      </c>
      <c r="G125" s="141" t="s">
        <v>1446</v>
      </c>
      <c r="H125" s="141" t="s">
        <v>1447</v>
      </c>
      <c r="I125" s="141" t="s">
        <v>88</v>
      </c>
      <c r="J125" s="141" t="s">
        <v>88</v>
      </c>
      <c r="K125" s="142" t="s">
        <v>379</v>
      </c>
      <c r="L125" s="142"/>
      <c r="M125" s="142"/>
      <c r="N125" s="142"/>
      <c r="O125" s="142"/>
      <c r="P125" s="142"/>
      <c r="Q125" s="142"/>
      <c r="R125" s="142"/>
      <c r="S125" s="142" t="s">
        <v>1274</v>
      </c>
      <c r="T125" s="142"/>
      <c r="U125" s="142" t="s">
        <v>1448</v>
      </c>
      <c r="V125" s="142" t="s">
        <v>88</v>
      </c>
      <c r="W125" s="142" t="s">
        <v>1449</v>
      </c>
      <c r="X125" s="142" t="s">
        <v>1333</v>
      </c>
      <c r="Y125" s="142" t="s">
        <v>88</v>
      </c>
      <c r="Z125" s="142">
        <v>2.2799999999999998</v>
      </c>
      <c r="AA125" s="142" t="s">
        <v>351</v>
      </c>
      <c r="AB125" s="143">
        <f>LOG(7244)</f>
        <v>3.8599784416420206</v>
      </c>
      <c r="AC125" s="142" t="s">
        <v>1450</v>
      </c>
      <c r="AD125" s="142" t="s">
        <v>1429</v>
      </c>
      <c r="AE125" s="1"/>
      <c r="AF125" s="30" t="str" cm="1">
        <f t="array" ref="AF125">_xlfn.IFS(COUNTIF(Table14623576[[#This Row],[PBT/ vPvB]],"*X*"), 20, TRUE, "")</f>
        <v/>
      </c>
      <c r="AG125" s="30" t="str" cm="1">
        <f t="array" ref="AG125">_xlfn.IFS(COUNTIF(Table14623576[[#This Row],[Perturbateur Endocrinien]],"*X*"), 20, TRUE, "")</f>
        <v/>
      </c>
      <c r="AH125" s="30" t="str" cm="1">
        <f t="array" ref="AH125">_xlfn.IFS(COUNTIF(Table14623576[[#This Row],[Phrases H]],"*H350*"), 20, TRUE, "")</f>
        <v/>
      </c>
      <c r="AI125" s="30" cm="1">
        <f t="array" ref="AI125">_xlfn.IFS(COUNTIF(Table14623576[[#This Row],[Phrases H]],"*H360*"), 20, TRUE, "")</f>
        <v>20</v>
      </c>
      <c r="AJ125" s="30" t="str" cm="1">
        <f t="array" ref="AJ125">_xlfn.IFS(COUNTIF(Table14623576[[#This Row],[Phrases H]],"*H340*"), 20, TRUE, "")</f>
        <v/>
      </c>
      <c r="AK125" s="30" t="str" cm="1">
        <f t="array" ref="AK125">_xlfn.IFS(COUNTIF(Table14623576[[#This Row],[Phrases H]],"*H351*"), 10, TRUE, "")</f>
        <v/>
      </c>
      <c r="AL125" s="30" t="str" cm="1">
        <f t="array" ref="AL125">_xlfn.IFS(COUNTIF(Table14623576[[#This Row],[Phrases H]],"*H361*"), 10, TRUE, "")</f>
        <v/>
      </c>
      <c r="AM125" s="30" t="str" cm="1">
        <f t="array" ref="AM125">_xlfn.IFS(COUNTIF(Table14623576[[#This Row],[Phrases H]],"*H362*"), 10, TRUE, "")</f>
        <v/>
      </c>
      <c r="AN125" s="30" t="str" cm="1">
        <f t="array" ref="AN125">_xlfn.IFS(COUNTIF(Table14623576[[#This Row],[Phrases H]],"*H341*"), 10, TRUE, "")</f>
        <v/>
      </c>
      <c r="AO125" s="30" t="str" cm="1">
        <f t="array" ref="AO125">_xlfn.IFS(COUNTIF(Table14623576[[#This Row],[Phrases H]],"*H372*"), 10, TRUE, "")</f>
        <v/>
      </c>
      <c r="AP125" s="30" cm="1">
        <f t="array" ref="AP125">_xlfn.IFS(COUNTIF(Table14623576[[#This Row],[Phrases H]],"*H410*"), 10, TRUE, "")</f>
        <v>10</v>
      </c>
      <c r="AQ125" s="30" t="str" cm="1">
        <f t="array" ref="AQ125">_xlfn.IFS(COUNTIF(Table14623576[[#This Row],[Phrases H]],"*H373*"), 5, TRUE, "")</f>
        <v/>
      </c>
      <c r="AR125" s="30" t="str" cm="1">
        <f t="array" ref="AR125">_xlfn.IFS(COUNTIF(Table14623576[[#This Row],[Phrases H]],"*H411*"), 5, TRUE, "")</f>
        <v/>
      </c>
      <c r="AS125" s="112">
        <f t="shared" si="53"/>
        <v>30</v>
      </c>
      <c r="AT125" s="144">
        <v>3.8599784416420206</v>
      </c>
      <c r="AU125" s="144">
        <v>4.88</v>
      </c>
      <c r="AV125" s="114">
        <f t="shared" si="41"/>
        <v>20</v>
      </c>
      <c r="AW125" s="115" t="str">
        <f t="shared" si="74"/>
        <v>0</v>
      </c>
      <c r="AX125" s="116">
        <f t="shared" si="61"/>
        <v>30</v>
      </c>
      <c r="AY125" s="117">
        <f t="shared" si="62"/>
        <v>0.35294117647058826</v>
      </c>
      <c r="AZ125" s="118" t="str">
        <f t="shared" si="54"/>
        <v>4</v>
      </c>
      <c r="BA125" s="119" t="str">
        <f t="shared" si="63"/>
        <v>4</v>
      </c>
      <c r="BB125" s="145"/>
      <c r="BC125" s="144">
        <v>100</v>
      </c>
      <c r="BD125" s="113" t="s">
        <v>97</v>
      </c>
      <c r="BE125" s="120">
        <f t="shared" si="59"/>
        <v>10</v>
      </c>
      <c r="BF125" s="121" t="str">
        <f t="shared" si="55"/>
        <v>Faible production</v>
      </c>
      <c r="BG125" s="122" t="str">
        <f t="shared" si="56"/>
        <v>D</v>
      </c>
      <c r="BH125" s="145"/>
      <c r="BI125" s="7"/>
      <c r="BJ125" s="5">
        <v>0</v>
      </c>
      <c r="BK125" s="7"/>
      <c r="BL125" s="131">
        <v>0</v>
      </c>
      <c r="BM125" s="132" t="s">
        <v>99</v>
      </c>
      <c r="BN125"/>
      <c r="BO125" s="60" t="str">
        <f t="shared" si="73"/>
        <v>Catégorie 4D NON</v>
      </c>
      <c r="BP125"/>
      <c r="BQ125" s="146" t="s">
        <v>88</v>
      </c>
      <c r="BR125"/>
      <c r="BS125" s="187" t="str">
        <f t="shared" si="64"/>
        <v/>
      </c>
      <c r="BT125" s="19" t="str">
        <f t="shared" si="65"/>
        <v/>
      </c>
      <c r="BU125" s="19" t="str">
        <f t="shared" si="66"/>
        <v/>
      </c>
      <c r="BV125" s="10"/>
      <c r="BW125" s="5" t="str">
        <f t="shared" si="67"/>
        <v>X</v>
      </c>
      <c r="BX125" s="5" t="str">
        <f t="shared" si="68"/>
        <v/>
      </c>
      <c r="BY125"/>
      <c r="BZ125" s="5" t="str">
        <f t="shared" si="69"/>
        <v/>
      </c>
      <c r="CA125" s="5" t="str">
        <f t="shared" si="70"/>
        <v/>
      </c>
      <c r="CB125" s="188" t="str">
        <f t="shared" si="71"/>
        <v/>
      </c>
    </row>
    <row r="126" spans="1:80" s="27" customFormat="1" ht="51" customHeight="1" x14ac:dyDescent="0.55000000000000004">
      <c r="A126" s="141">
        <v>1</v>
      </c>
      <c r="B126" s="104" t="s">
        <v>1451</v>
      </c>
      <c r="C126" s="141" t="s">
        <v>1452</v>
      </c>
      <c r="D126" s="141" t="s">
        <v>1453</v>
      </c>
      <c r="E126" s="141" t="s">
        <v>1454</v>
      </c>
      <c r="F126" s="141" t="s">
        <v>1455</v>
      </c>
      <c r="G126" s="141" t="s">
        <v>1456</v>
      </c>
      <c r="H126" s="141" t="s">
        <v>1457</v>
      </c>
      <c r="I126" s="104" t="s">
        <v>88</v>
      </c>
      <c r="J126" s="104" t="s">
        <v>88</v>
      </c>
      <c r="K126" s="141" t="s">
        <v>1260</v>
      </c>
      <c r="L126" s="142"/>
      <c r="M126" s="142"/>
      <c r="N126" s="142"/>
      <c r="O126" s="142" t="s">
        <v>85</v>
      </c>
      <c r="P126" s="142" t="s">
        <v>85</v>
      </c>
      <c r="Q126" s="142"/>
      <c r="R126" s="142"/>
      <c r="S126" s="142" t="s">
        <v>1406</v>
      </c>
      <c r="T126" s="142"/>
      <c r="U126" s="141" t="s">
        <v>1458</v>
      </c>
      <c r="V126" s="141" t="s">
        <v>173</v>
      </c>
      <c r="W126" s="141" t="s">
        <v>1459</v>
      </c>
      <c r="X126" s="141" t="s">
        <v>1460</v>
      </c>
      <c r="Y126" s="141" t="s">
        <v>1461</v>
      </c>
      <c r="Z126" s="149">
        <v>3.44</v>
      </c>
      <c r="AA126" s="104"/>
      <c r="AB126" s="149">
        <v>2.79</v>
      </c>
      <c r="AC126" s="150" t="s">
        <v>1462</v>
      </c>
      <c r="AD126" s="141" t="s">
        <v>1463</v>
      </c>
      <c r="AE126" s="1"/>
      <c r="AF126" s="30" t="str" cm="1">
        <f t="array" ref="AF126">_xlfn.IFS(COUNTIF(Table14623576[[#This Row],[PBT/ vPvB]],"*X*"), 20, TRUE, "")</f>
        <v/>
      </c>
      <c r="AG126" s="30" t="str" cm="1">
        <f t="array" ref="AG126">_xlfn.IFS(COUNTIF(Table14623576[[#This Row],[Perturbateur Endocrinien]],"*X*"), 20, TRUE, "")</f>
        <v/>
      </c>
      <c r="AH126" s="30" t="str" cm="1">
        <f t="array" ref="AH126">_xlfn.IFS(COUNTIF(Table14623576[[#This Row],[Phrases H]],"*H350*"), 20, TRUE, "")</f>
        <v/>
      </c>
      <c r="AI126" s="30" t="str" cm="1">
        <f t="array" ref="AI126">_xlfn.IFS(COUNTIF(Table14623576[[#This Row],[Phrases H]],"*H360*"), 20, TRUE, "")</f>
        <v/>
      </c>
      <c r="AJ126" s="30" t="str" cm="1">
        <f t="array" ref="AJ126">_xlfn.IFS(COUNTIF(Table14623576[[#This Row],[Phrases H]],"*H340*"), 20, TRUE, "")</f>
        <v/>
      </c>
      <c r="AK126" s="30" cm="1">
        <f t="array" ref="AK126">_xlfn.IFS(COUNTIF(Table14623576[[#This Row],[Phrases H]],"*H351*"), 10, TRUE, "")</f>
        <v>10</v>
      </c>
      <c r="AL126" s="30" t="str" cm="1">
        <f t="array" ref="AL126">_xlfn.IFS(COUNTIF(Table14623576[[#This Row],[Phrases H]],"*H361*"), 10, TRUE, "")</f>
        <v/>
      </c>
      <c r="AM126" s="30" t="str" cm="1">
        <f t="array" ref="AM126">_xlfn.IFS(COUNTIF(Table14623576[[#This Row],[Phrases H]],"*H362*"), 10, TRUE, "")</f>
        <v/>
      </c>
      <c r="AN126" s="30" t="str" cm="1">
        <f t="array" ref="AN126">_xlfn.IFS(COUNTIF(Table14623576[[#This Row],[Phrases H]],"*H341*"), 10, TRUE, "")</f>
        <v/>
      </c>
      <c r="AO126" s="30" t="str" cm="1">
        <f t="array" ref="AO126">_xlfn.IFS(COUNTIF(Table14623576[[#This Row],[Phrases H]],"*H372*"), 10, TRUE, "")</f>
        <v/>
      </c>
      <c r="AP126" s="30" cm="1">
        <f t="array" ref="AP126">_xlfn.IFS(COUNTIF(Table14623576[[#This Row],[Phrases H]],"*H410*"), 10, TRUE, "")</f>
        <v>10</v>
      </c>
      <c r="AQ126" s="30" t="str" cm="1">
        <f t="array" ref="AQ126">_xlfn.IFS(COUNTIF(Table14623576[[#This Row],[Phrases H]],"*H373*"), 5, TRUE, "")</f>
        <v/>
      </c>
      <c r="AR126" s="30" t="str" cm="1">
        <f t="array" ref="AR126">_xlfn.IFS(COUNTIF(Table14623576[[#This Row],[Phrases H]],"*H411*"), 5, TRUE, "")</f>
        <v/>
      </c>
      <c r="AS126" s="112">
        <f t="shared" si="53"/>
        <v>20</v>
      </c>
      <c r="AT126" s="144">
        <v>2.79</v>
      </c>
      <c r="AU126" s="144">
        <v>82.9</v>
      </c>
      <c r="AV126" s="114">
        <f t="shared" si="41"/>
        <v>30</v>
      </c>
      <c r="AW126" s="115" t="str">
        <f t="shared" si="74"/>
        <v>10</v>
      </c>
      <c r="AX126" s="116">
        <f t="shared" si="61"/>
        <v>30</v>
      </c>
      <c r="AY126" s="117">
        <f t="shared" si="62"/>
        <v>0.35294117647058826</v>
      </c>
      <c r="AZ126" s="118" t="str">
        <f t="shared" si="54"/>
        <v>4</v>
      </c>
      <c r="BA126" s="119" t="str">
        <f t="shared" si="63"/>
        <v>4</v>
      </c>
      <c r="BB126" s="145"/>
      <c r="BC126" s="144">
        <v>10000</v>
      </c>
      <c r="BD126" s="113" t="s">
        <v>97</v>
      </c>
      <c r="BE126" s="120">
        <f t="shared" si="59"/>
        <v>20</v>
      </c>
      <c r="BF126" s="121" t="str">
        <f t="shared" si="55"/>
        <v>Production élevée</v>
      </c>
      <c r="BG126" s="122" t="str">
        <f t="shared" si="56"/>
        <v>B</v>
      </c>
      <c r="BH126" s="145"/>
      <c r="BI126" s="7" t="s">
        <v>1464</v>
      </c>
      <c r="BJ126" s="130">
        <v>3</v>
      </c>
      <c r="BK126" s="7" t="s">
        <v>1465</v>
      </c>
      <c r="BL126" s="131">
        <v>2</v>
      </c>
      <c r="BM126" s="132" t="s">
        <v>131</v>
      </c>
      <c r="BN126"/>
      <c r="BO126" s="60" t="str">
        <f t="shared" si="73"/>
        <v>Catégorie 4B OUI</v>
      </c>
      <c r="BP126"/>
      <c r="BQ126" s="42" t="s">
        <v>1466</v>
      </c>
      <c r="BR126"/>
      <c r="BS126" s="187" t="str">
        <f t="shared" si="64"/>
        <v/>
      </c>
      <c r="BT126" s="19" t="str">
        <f t="shared" si="65"/>
        <v/>
      </c>
      <c r="BU126" s="19" t="str">
        <f t="shared" si="66"/>
        <v/>
      </c>
      <c r="BV126" s="10"/>
      <c r="BW126" s="5" t="str">
        <f t="shared" si="67"/>
        <v/>
      </c>
      <c r="BX126" s="5" t="str">
        <f t="shared" si="68"/>
        <v>X</v>
      </c>
      <c r="BY126"/>
      <c r="BZ126" s="5" t="str">
        <f t="shared" si="69"/>
        <v>X</v>
      </c>
      <c r="CA126" s="5" t="str">
        <f t="shared" si="70"/>
        <v>X</v>
      </c>
      <c r="CB126" s="188" t="str">
        <f t="shared" si="71"/>
        <v>X</v>
      </c>
    </row>
    <row r="127" spans="1:80" s="27" customFormat="1" ht="42" customHeight="1" x14ac:dyDescent="0.55000000000000004">
      <c r="A127" s="141">
        <v>2</v>
      </c>
      <c r="B127" s="104" t="s">
        <v>1451</v>
      </c>
      <c r="C127" s="141" t="s">
        <v>1467</v>
      </c>
      <c r="D127" s="141" t="s">
        <v>77</v>
      </c>
      <c r="E127" s="141" t="s">
        <v>1468</v>
      </c>
      <c r="F127" s="141" t="s">
        <v>1469</v>
      </c>
      <c r="G127" s="141" t="s">
        <v>1470</v>
      </c>
      <c r="H127" s="141" t="s">
        <v>1471</v>
      </c>
      <c r="I127" s="104" t="s">
        <v>88</v>
      </c>
      <c r="J127" s="104" t="s">
        <v>88</v>
      </c>
      <c r="K127" s="141" t="s">
        <v>88</v>
      </c>
      <c r="L127" s="142" t="s">
        <v>85</v>
      </c>
      <c r="M127" s="142" t="s">
        <v>85</v>
      </c>
      <c r="N127" s="142"/>
      <c r="O127" s="142"/>
      <c r="P127" s="142" t="s">
        <v>85</v>
      </c>
      <c r="Q127" s="142" t="s">
        <v>85</v>
      </c>
      <c r="R127" s="142" t="s">
        <v>85</v>
      </c>
      <c r="S127" s="142" t="s">
        <v>88</v>
      </c>
      <c r="T127" s="142"/>
      <c r="U127" s="141" t="s">
        <v>1472</v>
      </c>
      <c r="V127" s="141" t="s">
        <v>122</v>
      </c>
      <c r="W127" s="141" t="s">
        <v>1473</v>
      </c>
      <c r="X127" s="141" t="s">
        <v>1474</v>
      </c>
      <c r="Y127" s="141" t="s">
        <v>1475</v>
      </c>
      <c r="Z127" s="149">
        <v>5.03</v>
      </c>
      <c r="AA127" s="104"/>
      <c r="AB127" s="149">
        <v>4.3899999999999997</v>
      </c>
      <c r="AC127" s="150" t="s">
        <v>1476</v>
      </c>
      <c r="AD127" s="141" t="s">
        <v>1477</v>
      </c>
      <c r="AE127" s="1"/>
      <c r="AF127" s="30" cm="1">
        <f t="array" ref="AF127">_xlfn.IFS(COUNTIF(Table14623576[[#This Row],[PBT/ vPvB]],"*X*"), 20, TRUE, "")</f>
        <v>20</v>
      </c>
      <c r="AG127" s="30" t="str" cm="1">
        <f t="array" ref="AG127">_xlfn.IFS(COUNTIF(Table14623576[[#This Row],[Perturbateur Endocrinien]],"*X*"), 20, TRUE, "")</f>
        <v/>
      </c>
      <c r="AH127" s="30" t="str" cm="1">
        <f t="array" ref="AH127">_xlfn.IFS(COUNTIF(Table14623576[[#This Row],[Phrases H]],"*H350*"), 20, TRUE, "")</f>
        <v/>
      </c>
      <c r="AI127" s="30" t="str" cm="1">
        <f t="array" ref="AI127">_xlfn.IFS(COUNTIF(Table14623576[[#This Row],[Phrases H]],"*H360*"), 20, TRUE, "")</f>
        <v/>
      </c>
      <c r="AJ127" s="30" t="str" cm="1">
        <f t="array" ref="AJ127">_xlfn.IFS(COUNTIF(Table14623576[[#This Row],[Phrases H]],"*H340*"), 20, TRUE, "")</f>
        <v/>
      </c>
      <c r="AK127" s="30" t="str" cm="1">
        <f t="array" ref="AK127">_xlfn.IFS(COUNTIF(Table14623576[[#This Row],[Phrases H]],"*H351*"), 10, TRUE, "")</f>
        <v/>
      </c>
      <c r="AL127" s="30" t="str" cm="1">
        <f t="array" ref="AL127">_xlfn.IFS(COUNTIF(Table14623576[[#This Row],[Phrases H]],"*H361*"), 10, TRUE, "")</f>
        <v/>
      </c>
      <c r="AM127" s="30" t="str" cm="1">
        <f t="array" ref="AM127">_xlfn.IFS(COUNTIF(Table14623576[[#This Row],[Phrases H]],"*H362*"), 10, TRUE, "")</f>
        <v/>
      </c>
      <c r="AN127" s="30" t="str" cm="1">
        <f t="array" ref="AN127">_xlfn.IFS(COUNTIF(Table14623576[[#This Row],[Phrases H]],"*H341*"), 10, TRUE, "")</f>
        <v/>
      </c>
      <c r="AO127" s="30" t="str" cm="1">
        <f t="array" ref="AO127">_xlfn.IFS(COUNTIF(Table14623576[[#This Row],[Phrases H]],"*H372*"), 10, TRUE, "")</f>
        <v/>
      </c>
      <c r="AP127" s="30" cm="1">
        <f t="array" ref="AP127">_xlfn.IFS(COUNTIF(Table14623576[[#This Row],[Phrases H]],"*H410*"), 10, TRUE, "")</f>
        <v>10</v>
      </c>
      <c r="AQ127" s="30" t="str" cm="1">
        <f t="array" ref="AQ127">_xlfn.IFS(COUNTIF(Table14623576[[#This Row],[Phrases H]],"*H373*"), 5, TRUE, "")</f>
        <v/>
      </c>
      <c r="AR127" s="30" t="str" cm="1">
        <f t="array" ref="AR127">_xlfn.IFS(COUNTIF(Table14623576[[#This Row],[Phrases H]],"*H411*"), 5, TRUE, "")</f>
        <v/>
      </c>
      <c r="AS127" s="112">
        <f t="shared" si="53"/>
        <v>30</v>
      </c>
      <c r="AT127" s="144">
        <v>4.3899999999999997</v>
      </c>
      <c r="AU127" s="144">
        <v>0.83099999999999996</v>
      </c>
      <c r="AV127" s="114">
        <f t="shared" si="41"/>
        <v>20</v>
      </c>
      <c r="AW127" s="115" t="str">
        <f t="shared" si="74"/>
        <v>0</v>
      </c>
      <c r="AX127" s="116">
        <f t="shared" si="61"/>
        <v>30</v>
      </c>
      <c r="AY127" s="117">
        <f t="shared" si="62"/>
        <v>0.35294117647058826</v>
      </c>
      <c r="AZ127" s="118" t="str">
        <f t="shared" si="54"/>
        <v>4</v>
      </c>
      <c r="BA127" s="119" t="str">
        <f t="shared" si="63"/>
        <v>4</v>
      </c>
      <c r="BB127" s="145"/>
      <c r="BC127" s="144" t="s">
        <v>88</v>
      </c>
      <c r="BD127" s="113" t="s">
        <v>97</v>
      </c>
      <c r="BE127" s="120">
        <f t="shared" si="59"/>
        <v>0</v>
      </c>
      <c r="BF127" s="121" t="str">
        <f t="shared" si="55"/>
        <v>N/A</v>
      </c>
      <c r="BG127" s="122" t="str">
        <f t="shared" si="56"/>
        <v>E</v>
      </c>
      <c r="BH127" s="145"/>
      <c r="BI127" s="7" t="s">
        <v>1465</v>
      </c>
      <c r="BJ127" s="130">
        <v>2</v>
      </c>
      <c r="BK127" s="7" t="s">
        <v>1465</v>
      </c>
      <c r="BL127" s="131">
        <v>2</v>
      </c>
      <c r="BM127" s="132" t="s">
        <v>131</v>
      </c>
      <c r="BN127"/>
      <c r="BO127" s="60" t="str">
        <f t="shared" si="73"/>
        <v>Catégorie 4E OUI</v>
      </c>
      <c r="BP127"/>
      <c r="BQ127" s="42" t="s">
        <v>1466</v>
      </c>
      <c r="BR127"/>
      <c r="BS127" s="187" t="str">
        <f t="shared" si="64"/>
        <v/>
      </c>
      <c r="BT127" s="19" t="str">
        <f t="shared" si="65"/>
        <v/>
      </c>
      <c r="BU127" s="19" t="str">
        <f t="shared" si="66"/>
        <v/>
      </c>
      <c r="BV127" s="10"/>
      <c r="BW127" s="5" t="str">
        <f t="shared" si="67"/>
        <v>X</v>
      </c>
      <c r="BX127" s="5" t="str">
        <f t="shared" si="68"/>
        <v>X</v>
      </c>
      <c r="BY127"/>
      <c r="BZ127" s="5" t="str">
        <f t="shared" si="69"/>
        <v>X</v>
      </c>
      <c r="CA127" s="5" t="str">
        <f t="shared" si="70"/>
        <v>X</v>
      </c>
      <c r="CB127" s="188" t="str">
        <f t="shared" si="71"/>
        <v>X</v>
      </c>
    </row>
    <row r="128" spans="1:80" s="27" customFormat="1" ht="66" customHeight="1" x14ac:dyDescent="0.55000000000000004">
      <c r="A128" s="141">
        <v>3</v>
      </c>
      <c r="B128" s="104" t="s">
        <v>1451</v>
      </c>
      <c r="C128" s="141" t="s">
        <v>1478</v>
      </c>
      <c r="D128" s="141"/>
      <c r="E128" s="141" t="s">
        <v>1479</v>
      </c>
      <c r="F128" s="141" t="s">
        <v>1480</v>
      </c>
      <c r="G128" s="141" t="s">
        <v>1481</v>
      </c>
      <c r="H128" s="141" t="s">
        <v>1482</v>
      </c>
      <c r="I128" s="104" t="s">
        <v>88</v>
      </c>
      <c r="J128" s="104" t="s">
        <v>88</v>
      </c>
      <c r="K128" s="141" t="s">
        <v>88</v>
      </c>
      <c r="L128" s="142" t="s">
        <v>85</v>
      </c>
      <c r="M128" s="142" t="s">
        <v>85</v>
      </c>
      <c r="N128" s="142"/>
      <c r="O128" s="142"/>
      <c r="P128" s="142" t="s">
        <v>85</v>
      </c>
      <c r="Q128" s="142"/>
      <c r="R128" s="142" t="s">
        <v>85</v>
      </c>
      <c r="S128" s="142" t="s">
        <v>88</v>
      </c>
      <c r="T128" s="142"/>
      <c r="U128" s="141" t="s">
        <v>1483</v>
      </c>
      <c r="V128" s="141" t="s">
        <v>173</v>
      </c>
      <c r="W128" s="151" t="s">
        <v>1484</v>
      </c>
      <c r="X128" s="141" t="s">
        <v>1485</v>
      </c>
      <c r="Y128" s="141" t="s">
        <v>1486</v>
      </c>
      <c r="Z128" s="149">
        <v>5.47</v>
      </c>
      <c r="AA128" s="104"/>
      <c r="AB128" s="149">
        <v>4.0442</v>
      </c>
      <c r="AC128" s="150" t="s">
        <v>1487</v>
      </c>
      <c r="AD128" s="141" t="s">
        <v>1488</v>
      </c>
      <c r="AE128" s="1"/>
      <c r="AF128" s="30" cm="1">
        <f t="array" ref="AF128">_xlfn.IFS(COUNTIF(Table14623576[[#This Row],[PBT/ vPvB]],"*X*"), 20, TRUE, "")</f>
        <v>20</v>
      </c>
      <c r="AG128" s="30" t="str" cm="1">
        <f t="array" ref="AG128">_xlfn.IFS(COUNTIF(Table14623576[[#This Row],[Perturbateur Endocrinien]],"*X*"), 20, TRUE, "")</f>
        <v/>
      </c>
      <c r="AH128" s="30" cm="1">
        <f t="array" ref="AH128">_xlfn.IFS(COUNTIF(Table14623576[[#This Row],[Phrases H]],"*H350*"), 20, TRUE, "")</f>
        <v>20</v>
      </c>
      <c r="AI128" s="30" t="str" cm="1">
        <f t="array" ref="AI128">_xlfn.IFS(COUNTIF(Table14623576[[#This Row],[Phrases H]],"*H360*"), 20, TRUE, "")</f>
        <v/>
      </c>
      <c r="AJ128" s="30" t="str" cm="1">
        <f t="array" ref="AJ128">_xlfn.IFS(COUNTIF(Table14623576[[#This Row],[Phrases H]],"*H340*"), 20, TRUE, "")</f>
        <v/>
      </c>
      <c r="AK128" s="30" t="str" cm="1">
        <f t="array" ref="AK128">_xlfn.IFS(COUNTIF(Table14623576[[#This Row],[Phrases H]],"*H351*"), 10, TRUE, "")</f>
        <v/>
      </c>
      <c r="AL128" s="30" t="str" cm="1">
        <f t="array" ref="AL128">_xlfn.IFS(COUNTIF(Table14623576[[#This Row],[Phrases H]],"*H361*"), 10, TRUE, "")</f>
        <v/>
      </c>
      <c r="AM128" s="30" t="str" cm="1">
        <f t="array" ref="AM128">_xlfn.IFS(COUNTIF(Table14623576[[#This Row],[Phrases H]],"*H362*"), 10, TRUE, "")</f>
        <v/>
      </c>
      <c r="AN128" s="30" t="str" cm="1">
        <f t="array" ref="AN128">_xlfn.IFS(COUNTIF(Table14623576[[#This Row],[Phrases H]],"*H341*"), 10, TRUE, "")</f>
        <v/>
      </c>
      <c r="AO128" s="30" cm="1">
        <f t="array" ref="AO128">_xlfn.IFS(COUNTIF(Table14623576[[#This Row],[Phrases H]],"*H372*"), 10, TRUE, "")</f>
        <v>10</v>
      </c>
      <c r="AP128" s="30" cm="1">
        <f t="array" ref="AP128">_xlfn.IFS(COUNTIF(Table14623576[[#This Row],[Phrases H]],"*H410*"), 10, TRUE, "")</f>
        <v>10</v>
      </c>
      <c r="AQ128" s="30" t="str" cm="1">
        <f t="array" ref="AQ128">_xlfn.IFS(COUNTIF(Table14623576[[#This Row],[Phrases H]],"*H373*"), 5, TRUE, "")</f>
        <v/>
      </c>
      <c r="AR128" s="30" t="str" cm="1">
        <f t="array" ref="AR128">_xlfn.IFS(COUNTIF(Table14623576[[#This Row],[Phrases H]],"*H411*"), 5, TRUE, "")</f>
        <v/>
      </c>
      <c r="AS128" s="112">
        <f t="shared" si="53"/>
        <v>60</v>
      </c>
      <c r="AT128" s="144">
        <v>4.0442</v>
      </c>
      <c r="AU128" s="144">
        <v>9.2099999999999994E-3</v>
      </c>
      <c r="AV128" s="114">
        <f t="shared" si="41"/>
        <v>10</v>
      </c>
      <c r="AW128" s="115" t="str">
        <f t="shared" si="74"/>
        <v>0</v>
      </c>
      <c r="AX128" s="116">
        <f t="shared" si="61"/>
        <v>60</v>
      </c>
      <c r="AY128" s="117">
        <f t="shared" si="62"/>
        <v>0.70588235294117652</v>
      </c>
      <c r="AZ128" s="118" t="str">
        <f t="shared" si="54"/>
        <v>2</v>
      </c>
      <c r="BA128" s="119" t="str">
        <f t="shared" si="63"/>
        <v>2</v>
      </c>
      <c r="BB128" s="145"/>
      <c r="BC128" s="144" t="s">
        <v>88</v>
      </c>
      <c r="BD128" s="113" t="s">
        <v>97</v>
      </c>
      <c r="BE128" s="120">
        <f t="shared" si="59"/>
        <v>0</v>
      </c>
      <c r="BF128" s="121" t="str">
        <f t="shared" si="55"/>
        <v>N/A</v>
      </c>
      <c r="BG128" s="122" t="str">
        <f t="shared" si="56"/>
        <v>E</v>
      </c>
      <c r="BH128" s="145"/>
      <c r="BI128" s="7" t="s">
        <v>1489</v>
      </c>
      <c r="BJ128" s="133">
        <v>4</v>
      </c>
      <c r="BK128" s="7" t="s">
        <v>1489</v>
      </c>
      <c r="BL128" s="131">
        <v>4</v>
      </c>
      <c r="BM128" s="119" t="s">
        <v>131</v>
      </c>
      <c r="BN128"/>
      <c r="BO128" s="60" t="str">
        <f t="shared" si="57"/>
        <v>Catégorie 2EOUI</v>
      </c>
      <c r="BP128"/>
      <c r="BQ128" s="42" t="s">
        <v>1466</v>
      </c>
      <c r="BR128"/>
      <c r="BS128" s="187" t="str">
        <f t="shared" si="64"/>
        <v>X</v>
      </c>
      <c r="BT128" s="19" t="str">
        <f t="shared" si="65"/>
        <v>X</v>
      </c>
      <c r="BU128" s="19" t="str">
        <f t="shared" si="66"/>
        <v>X</v>
      </c>
      <c r="BV128" s="10"/>
      <c r="BW128" s="5" t="str">
        <f t="shared" si="67"/>
        <v>X</v>
      </c>
      <c r="BX128" s="5" t="str">
        <f t="shared" si="68"/>
        <v>X</v>
      </c>
      <c r="BY128"/>
      <c r="BZ128" s="5" t="str">
        <f t="shared" si="69"/>
        <v>X</v>
      </c>
      <c r="CA128" s="5" t="str">
        <f t="shared" si="70"/>
        <v>X</v>
      </c>
      <c r="CB128" s="188" t="str">
        <f t="shared" si="71"/>
        <v>X</v>
      </c>
    </row>
    <row r="129" spans="1:80" s="27" customFormat="1" ht="37.5" customHeight="1" x14ac:dyDescent="0.55000000000000004">
      <c r="A129" s="141">
        <v>4</v>
      </c>
      <c r="B129" s="104" t="s">
        <v>1451</v>
      </c>
      <c r="C129" s="141" t="s">
        <v>1490</v>
      </c>
      <c r="D129" s="141" t="s">
        <v>1491</v>
      </c>
      <c r="E129" s="141" t="s">
        <v>1492</v>
      </c>
      <c r="F129" s="141" t="s">
        <v>1493</v>
      </c>
      <c r="G129" s="141" t="s">
        <v>1494</v>
      </c>
      <c r="H129" s="141" t="s">
        <v>1495</v>
      </c>
      <c r="I129" s="104" t="s">
        <v>88</v>
      </c>
      <c r="J129" s="104" t="s">
        <v>88</v>
      </c>
      <c r="K129" s="141" t="s">
        <v>1496</v>
      </c>
      <c r="L129" s="142"/>
      <c r="M129" s="142"/>
      <c r="N129" s="142"/>
      <c r="O129" s="142"/>
      <c r="P129" s="142" t="s">
        <v>85</v>
      </c>
      <c r="Q129" s="142"/>
      <c r="R129" s="142"/>
      <c r="S129" s="142" t="s">
        <v>1274</v>
      </c>
      <c r="T129" s="142"/>
      <c r="U129" s="141" t="s">
        <v>1497</v>
      </c>
      <c r="V129" s="141" t="s">
        <v>122</v>
      </c>
      <c r="W129" s="151" t="s">
        <v>1498</v>
      </c>
      <c r="X129" s="151" t="s">
        <v>1499</v>
      </c>
      <c r="Y129" s="151" t="s">
        <v>1500</v>
      </c>
      <c r="Z129" s="149">
        <v>2.84</v>
      </c>
      <c r="AA129" s="104"/>
      <c r="AB129" s="149">
        <v>2.2000000000000002</v>
      </c>
      <c r="AC129" s="150" t="s">
        <v>1501</v>
      </c>
      <c r="AD129" s="141" t="s">
        <v>1502</v>
      </c>
      <c r="AE129" s="1"/>
      <c r="AF129" s="30" t="str" cm="1">
        <f t="array" ref="AF129">_xlfn.IFS(COUNTIF(Table14623576[[#This Row],[PBT/ vPvB]],"*X*"), 20, TRUE, "")</f>
        <v/>
      </c>
      <c r="AG129" s="30" t="str" cm="1">
        <f t="array" ref="AG129">_xlfn.IFS(COUNTIF(Table14623576[[#This Row],[Perturbateur Endocrinien]],"*X*"), 20, TRUE, "")</f>
        <v/>
      </c>
      <c r="AH129" s="30" t="str" cm="1">
        <f t="array" ref="AH129">_xlfn.IFS(COUNTIF(Table14623576[[#This Row],[Phrases H]],"*H350*"), 20, TRUE, "")</f>
        <v/>
      </c>
      <c r="AI129" s="30" t="str" cm="1">
        <f t="array" ref="AI129">_xlfn.IFS(COUNTIF(Table14623576[[#This Row],[Phrases H]],"*H360*"), 20, TRUE, "")</f>
        <v/>
      </c>
      <c r="AJ129" s="30" t="str" cm="1">
        <f t="array" ref="AJ129">_xlfn.IFS(COUNTIF(Table14623576[[#This Row],[Phrases H]],"*H340*"), 20, TRUE, "")</f>
        <v/>
      </c>
      <c r="AK129" s="30" t="str" cm="1">
        <f t="array" ref="AK129">_xlfn.IFS(COUNTIF(Table14623576[[#This Row],[Phrases H]],"*H351*"), 10, TRUE, "")</f>
        <v/>
      </c>
      <c r="AL129" s="30" t="str" cm="1">
        <f t="array" ref="AL129">_xlfn.IFS(COUNTIF(Table14623576[[#This Row],[Phrases H]],"*H361*"), 10, TRUE, "")</f>
        <v/>
      </c>
      <c r="AM129" s="30" t="str" cm="1">
        <f t="array" ref="AM129">_xlfn.IFS(COUNTIF(Table14623576[[#This Row],[Phrases H]],"*H362*"), 10, TRUE, "")</f>
        <v/>
      </c>
      <c r="AN129" s="30" t="str" cm="1">
        <f t="array" ref="AN129">_xlfn.IFS(COUNTIF(Table14623576[[#This Row],[Phrases H]],"*H341*"), 10, TRUE, "")</f>
        <v/>
      </c>
      <c r="AO129" s="30" t="str" cm="1">
        <f t="array" ref="AO129">_xlfn.IFS(COUNTIF(Table14623576[[#This Row],[Phrases H]],"*H372*"), 10, TRUE, "")</f>
        <v/>
      </c>
      <c r="AP129" s="30" t="str" cm="1">
        <f t="array" ref="AP129">_xlfn.IFS(COUNTIF(Table14623576[[#This Row],[Phrases H]],"*H410*"), 10, TRUE, "")</f>
        <v/>
      </c>
      <c r="AQ129" s="30" t="str" cm="1">
        <f t="array" ref="AQ129">_xlfn.IFS(COUNTIF(Table14623576[[#This Row],[Phrases H]],"*H373*"), 5, TRUE, "")</f>
        <v/>
      </c>
      <c r="AR129" s="30" cm="1">
        <f t="array" ref="AR129">_xlfn.IFS(COUNTIF(Table14623576[[#This Row],[Phrases H]],"*H411*"), 5, TRUE, "")</f>
        <v>5</v>
      </c>
      <c r="AS129" s="112">
        <f t="shared" si="53"/>
        <v>5</v>
      </c>
      <c r="AT129" s="144">
        <v>2.2000000000000002</v>
      </c>
      <c r="AU129" s="144">
        <v>499</v>
      </c>
      <c r="AV129" s="114">
        <f t="shared" si="41"/>
        <v>30</v>
      </c>
      <c r="AW129" s="115" t="str">
        <f t="shared" si="74"/>
        <v>10</v>
      </c>
      <c r="AX129" s="116">
        <f t="shared" si="61"/>
        <v>15</v>
      </c>
      <c r="AY129" s="117">
        <f t="shared" si="62"/>
        <v>0.17647058823529413</v>
      </c>
      <c r="AZ129" s="118" t="str">
        <f t="shared" si="54"/>
        <v>5</v>
      </c>
      <c r="BA129" s="119" t="str">
        <f t="shared" si="63"/>
        <v>5</v>
      </c>
      <c r="BB129" s="145"/>
      <c r="BC129" s="144">
        <v>100000</v>
      </c>
      <c r="BD129" s="113" t="s">
        <v>97</v>
      </c>
      <c r="BE129" s="120">
        <f t="shared" si="59"/>
        <v>25</v>
      </c>
      <c r="BF129" s="121" t="str">
        <f t="shared" si="55"/>
        <v>Production très élevée</v>
      </c>
      <c r="BG129" s="122" t="str">
        <f t="shared" si="56"/>
        <v>A</v>
      </c>
      <c r="BH129" s="145"/>
      <c r="BI129" s="7" t="s">
        <v>1465</v>
      </c>
      <c r="BJ129" s="130">
        <v>2</v>
      </c>
      <c r="BK129" s="7" t="s">
        <v>1465</v>
      </c>
      <c r="BL129" s="131">
        <v>2</v>
      </c>
      <c r="BM129" s="132" t="s">
        <v>131</v>
      </c>
      <c r="BN129"/>
      <c r="BO129" s="60" t="str">
        <f t="shared" ref="BO129:BO140" si="75">_xlfn.CONCAT("Catégorie ", BA129,BG129," ",BM129)</f>
        <v>Catégorie 5A OUI</v>
      </c>
      <c r="BP129"/>
      <c r="BQ129" s="42" t="s">
        <v>1466</v>
      </c>
      <c r="BR129"/>
      <c r="BS129" s="187" t="str">
        <f t="shared" si="64"/>
        <v/>
      </c>
      <c r="BT129" s="19" t="str">
        <f t="shared" si="65"/>
        <v/>
      </c>
      <c r="BU129" s="19" t="str">
        <f t="shared" si="66"/>
        <v/>
      </c>
      <c r="BV129" s="10"/>
      <c r="BW129" s="5" t="str">
        <f t="shared" si="67"/>
        <v/>
      </c>
      <c r="BX129" s="5" t="str">
        <f t="shared" si="68"/>
        <v>X</v>
      </c>
      <c r="BY129"/>
      <c r="BZ129" s="5" t="str">
        <f t="shared" si="69"/>
        <v>X</v>
      </c>
      <c r="CA129" s="5" t="str">
        <f t="shared" si="70"/>
        <v>X</v>
      </c>
      <c r="CB129" s="188" t="str">
        <f t="shared" si="71"/>
        <v>X</v>
      </c>
    </row>
    <row r="130" spans="1:80" s="27" customFormat="1" ht="51" customHeight="1" x14ac:dyDescent="0.55000000000000004">
      <c r="A130" s="141">
        <v>5</v>
      </c>
      <c r="B130" s="104" t="s">
        <v>1451</v>
      </c>
      <c r="C130" s="141" t="s">
        <v>1503</v>
      </c>
      <c r="D130" s="141" t="s">
        <v>1504</v>
      </c>
      <c r="E130" s="141" t="s">
        <v>1505</v>
      </c>
      <c r="F130" s="141" t="s">
        <v>1506</v>
      </c>
      <c r="G130" s="141" t="s">
        <v>1456</v>
      </c>
      <c r="H130" s="141" t="s">
        <v>1507</v>
      </c>
      <c r="I130" s="104" t="s">
        <v>88</v>
      </c>
      <c r="J130" s="104" t="s">
        <v>88</v>
      </c>
      <c r="K130" s="141" t="s">
        <v>1508</v>
      </c>
      <c r="L130" s="142"/>
      <c r="M130" s="142"/>
      <c r="N130" s="142"/>
      <c r="O130" s="142"/>
      <c r="P130" s="142" t="s">
        <v>85</v>
      </c>
      <c r="Q130" s="142"/>
      <c r="R130" s="142"/>
      <c r="S130" s="142" t="s">
        <v>1274</v>
      </c>
      <c r="T130" s="142"/>
      <c r="U130" s="141" t="s">
        <v>1509</v>
      </c>
      <c r="V130" s="141" t="s">
        <v>122</v>
      </c>
      <c r="W130" s="151" t="s">
        <v>1510</v>
      </c>
      <c r="X130" s="151" t="s">
        <v>1511</v>
      </c>
      <c r="Y130" s="151" t="s">
        <v>1512</v>
      </c>
      <c r="Z130" s="149">
        <v>3.43</v>
      </c>
      <c r="AA130" s="104"/>
      <c r="AB130" s="149">
        <v>2.58</v>
      </c>
      <c r="AC130" s="150" t="s">
        <v>1513</v>
      </c>
      <c r="AD130" s="141" t="s">
        <v>1514</v>
      </c>
      <c r="AE130" s="1"/>
      <c r="AF130" s="30" t="str" cm="1">
        <f t="array" ref="AF130">_xlfn.IFS(COUNTIF(Table14623576[[#This Row],[PBT/ vPvB]],"*X*"), 20, TRUE, "")</f>
        <v/>
      </c>
      <c r="AG130" s="30" t="str" cm="1">
        <f t="array" ref="AG130">_xlfn.IFS(COUNTIF(Table14623576[[#This Row],[Perturbateur Endocrinien]],"*X*"), 20, TRUE, "")</f>
        <v/>
      </c>
      <c r="AH130" s="30" t="str" cm="1">
        <f t="array" ref="AH130">_xlfn.IFS(COUNTIF(Table14623576[[#This Row],[Phrases H]],"*H350*"), 20, TRUE, "")</f>
        <v/>
      </c>
      <c r="AI130" s="30" t="str" cm="1">
        <f t="array" ref="AI130">_xlfn.IFS(COUNTIF(Table14623576[[#This Row],[Phrases H]],"*H360*"), 20, TRUE, "")</f>
        <v/>
      </c>
      <c r="AJ130" s="30" t="str" cm="1">
        <f t="array" ref="AJ130">_xlfn.IFS(COUNTIF(Table14623576[[#This Row],[Phrases H]],"*H340*"), 20, TRUE, "")</f>
        <v/>
      </c>
      <c r="AK130" s="30" t="str" cm="1">
        <f t="array" ref="AK130">_xlfn.IFS(COUNTIF(Table14623576[[#This Row],[Phrases H]],"*H351*"), 10, TRUE, "")</f>
        <v/>
      </c>
      <c r="AL130" s="30" t="str" cm="1">
        <f t="array" ref="AL130">_xlfn.IFS(COUNTIF(Table14623576[[#This Row],[Phrases H]],"*H361*"), 10, TRUE, "")</f>
        <v/>
      </c>
      <c r="AM130" s="30" t="str" cm="1">
        <f t="array" ref="AM130">_xlfn.IFS(COUNTIF(Table14623576[[#This Row],[Phrases H]],"*H362*"), 10, TRUE, "")</f>
        <v/>
      </c>
      <c r="AN130" s="30" t="str" cm="1">
        <f t="array" ref="AN130">_xlfn.IFS(COUNTIF(Table14623576[[#This Row],[Phrases H]],"*H341*"), 10, TRUE, "")</f>
        <v/>
      </c>
      <c r="AO130" s="30" t="str" cm="1">
        <f t="array" ref="AO130">_xlfn.IFS(COUNTIF(Table14623576[[#This Row],[Phrases H]],"*H372*"), 10, TRUE, "")</f>
        <v/>
      </c>
      <c r="AP130" s="30" cm="1">
        <f t="array" ref="AP130">_xlfn.IFS(COUNTIF(Table14623576[[#This Row],[Phrases H]],"*H410*"), 10, TRUE, "")</f>
        <v>10</v>
      </c>
      <c r="AQ130" s="30" t="str" cm="1">
        <f t="array" ref="AQ130">_xlfn.IFS(COUNTIF(Table14623576[[#This Row],[Phrases H]],"*H373*"), 5, TRUE, "")</f>
        <v/>
      </c>
      <c r="AR130" s="30" t="str" cm="1">
        <f t="array" ref="AR130">_xlfn.IFS(COUNTIF(Table14623576[[#This Row],[Phrases H]],"*H411*"), 5, TRUE, "")</f>
        <v/>
      </c>
      <c r="AS130" s="112">
        <f t="shared" si="53"/>
        <v>10</v>
      </c>
      <c r="AT130" s="144">
        <v>2.58</v>
      </c>
      <c r="AU130" s="144">
        <v>156</v>
      </c>
      <c r="AV130" s="114">
        <f t="shared" si="41"/>
        <v>30</v>
      </c>
      <c r="AW130" s="115" t="str">
        <f t="shared" si="74"/>
        <v>10</v>
      </c>
      <c r="AX130" s="116">
        <f t="shared" si="61"/>
        <v>20</v>
      </c>
      <c r="AY130" s="117">
        <f t="shared" si="62"/>
        <v>0.23529411764705882</v>
      </c>
      <c r="AZ130" s="118" t="str">
        <f t="shared" si="54"/>
        <v>4</v>
      </c>
      <c r="BA130" s="119" t="str">
        <f t="shared" si="63"/>
        <v>4</v>
      </c>
      <c r="BB130" s="145"/>
      <c r="BC130" s="144">
        <v>100000</v>
      </c>
      <c r="BD130" s="113" t="s">
        <v>97</v>
      </c>
      <c r="BE130" s="120">
        <f t="shared" si="59"/>
        <v>25</v>
      </c>
      <c r="BF130" s="121" t="str">
        <f t="shared" si="55"/>
        <v>Production très élevée</v>
      </c>
      <c r="BG130" s="122" t="str">
        <f t="shared" si="56"/>
        <v>A</v>
      </c>
      <c r="BH130" s="145"/>
      <c r="BI130" s="7" t="s">
        <v>1464</v>
      </c>
      <c r="BJ130" s="130">
        <v>3</v>
      </c>
      <c r="BK130" s="7" t="s">
        <v>1465</v>
      </c>
      <c r="BL130" s="131">
        <v>2</v>
      </c>
      <c r="BM130" s="132" t="s">
        <v>131</v>
      </c>
      <c r="BN130"/>
      <c r="BO130" s="60" t="str">
        <f t="shared" si="75"/>
        <v>Catégorie 4A OUI</v>
      </c>
      <c r="BP130"/>
      <c r="BQ130" s="42" t="s">
        <v>1466</v>
      </c>
      <c r="BR130"/>
      <c r="BS130" s="187" t="str">
        <f t="shared" si="64"/>
        <v/>
      </c>
      <c r="BT130" s="19" t="str">
        <f t="shared" si="65"/>
        <v/>
      </c>
      <c r="BU130" s="19" t="str">
        <f t="shared" si="66"/>
        <v/>
      </c>
      <c r="BV130" s="10"/>
      <c r="BW130" s="5" t="str">
        <f t="shared" si="67"/>
        <v/>
      </c>
      <c r="BX130" s="5" t="str">
        <f t="shared" si="68"/>
        <v>X</v>
      </c>
      <c r="BY130"/>
      <c r="BZ130" s="5" t="str">
        <f t="shared" si="69"/>
        <v>X</v>
      </c>
      <c r="CA130" s="5" t="str">
        <f t="shared" si="70"/>
        <v>X</v>
      </c>
      <c r="CB130" s="188" t="str">
        <f t="shared" si="71"/>
        <v>X</v>
      </c>
    </row>
    <row r="131" spans="1:80" s="27" customFormat="1" ht="55" customHeight="1" x14ac:dyDescent="0.55000000000000004">
      <c r="A131" s="141">
        <v>6</v>
      </c>
      <c r="B131" s="104" t="s">
        <v>1451</v>
      </c>
      <c r="C131" s="141" t="s">
        <v>1515</v>
      </c>
      <c r="D131" s="141" t="s">
        <v>1504</v>
      </c>
      <c r="E131" s="141" t="s">
        <v>1516</v>
      </c>
      <c r="F131" s="141" t="s">
        <v>1517</v>
      </c>
      <c r="G131" s="141" t="s">
        <v>1456</v>
      </c>
      <c r="H131" s="141" t="s">
        <v>1518</v>
      </c>
      <c r="I131" s="104" t="s">
        <v>88</v>
      </c>
      <c r="J131" s="104" t="s">
        <v>88</v>
      </c>
      <c r="K131" s="141" t="s">
        <v>318</v>
      </c>
      <c r="L131" s="142"/>
      <c r="M131" s="142"/>
      <c r="N131" s="142"/>
      <c r="O131" s="142"/>
      <c r="P131" s="142" t="s">
        <v>85</v>
      </c>
      <c r="Q131" s="142"/>
      <c r="R131" s="142"/>
      <c r="S131" s="142" t="s">
        <v>1274</v>
      </c>
      <c r="T131" s="142"/>
      <c r="U131" s="141" t="s">
        <v>1519</v>
      </c>
      <c r="V131" s="141" t="s">
        <v>122</v>
      </c>
      <c r="W131" s="141" t="s">
        <v>1520</v>
      </c>
      <c r="X131" s="141" t="s">
        <v>1521</v>
      </c>
      <c r="Y131" s="141" t="s">
        <v>1522</v>
      </c>
      <c r="Z131" s="149" t="s">
        <v>1523</v>
      </c>
      <c r="AA131" s="104"/>
      <c r="AB131" s="152">
        <f>LOG(375.3)</f>
        <v>2.5743785644130823</v>
      </c>
      <c r="AC131" s="141" t="s">
        <v>1524</v>
      </c>
      <c r="AD131" s="141" t="s">
        <v>1525</v>
      </c>
      <c r="AE131" s="1"/>
      <c r="AF131" s="30" t="str" cm="1">
        <f t="array" ref="AF131">_xlfn.IFS(COUNTIF(Table14623576[[#This Row],[PBT/ vPvB]],"*X*"), 20, TRUE, "")</f>
        <v/>
      </c>
      <c r="AG131" s="30" t="str" cm="1">
        <f t="array" ref="AG131">_xlfn.IFS(COUNTIF(Table14623576[[#This Row],[Perturbateur Endocrinien]],"*X*"), 20, TRUE, "")</f>
        <v/>
      </c>
      <c r="AH131" s="30" t="str" cm="1">
        <f t="array" ref="AH131">_xlfn.IFS(COUNTIF(Table14623576[[#This Row],[Phrases H]],"*H350*"), 20, TRUE, "")</f>
        <v/>
      </c>
      <c r="AI131" s="30" t="str" cm="1">
        <f t="array" ref="AI131">_xlfn.IFS(COUNTIF(Table14623576[[#This Row],[Phrases H]],"*H360*"), 20, TRUE, "")</f>
        <v/>
      </c>
      <c r="AJ131" s="30" t="str" cm="1">
        <f t="array" ref="AJ131">_xlfn.IFS(COUNTIF(Table14623576[[#This Row],[Phrases H]],"*H340*"), 20, TRUE, "")</f>
        <v/>
      </c>
      <c r="AK131" s="30" t="str" cm="1">
        <f t="array" ref="AK131">_xlfn.IFS(COUNTIF(Table14623576[[#This Row],[Phrases H]],"*H351*"), 10, TRUE, "")</f>
        <v/>
      </c>
      <c r="AL131" s="30" t="str" cm="1">
        <f t="array" ref="AL131">_xlfn.IFS(COUNTIF(Table14623576[[#This Row],[Phrases H]],"*H361*"), 10, TRUE, "")</f>
        <v/>
      </c>
      <c r="AM131" s="30" t="str" cm="1">
        <f t="array" ref="AM131">_xlfn.IFS(COUNTIF(Table14623576[[#This Row],[Phrases H]],"*H362*"), 10, TRUE, "")</f>
        <v/>
      </c>
      <c r="AN131" s="30" t="str" cm="1">
        <f t="array" ref="AN131">_xlfn.IFS(COUNTIF(Table14623576[[#This Row],[Phrases H]],"*H341*"), 10, TRUE, "")</f>
        <v/>
      </c>
      <c r="AO131" s="30" t="str" cm="1">
        <f t="array" ref="AO131">_xlfn.IFS(COUNTIF(Table14623576[[#This Row],[Phrases H]],"*H372*"), 10, TRUE, "")</f>
        <v/>
      </c>
      <c r="AP131" s="30" t="str" cm="1">
        <f t="array" ref="AP131">_xlfn.IFS(COUNTIF(Table14623576[[#This Row],[Phrases H]],"*H410*"), 10, TRUE, "")</f>
        <v/>
      </c>
      <c r="AQ131" s="30" t="str" cm="1">
        <f t="array" ref="AQ131">_xlfn.IFS(COUNTIF(Table14623576[[#This Row],[Phrases H]],"*H373*"), 5, TRUE, "")</f>
        <v/>
      </c>
      <c r="AR131" s="30" cm="1">
        <f t="array" ref="AR131">_xlfn.IFS(COUNTIF(Table14623576[[#This Row],[Phrases H]],"*H411*"), 5, TRUE, "")</f>
        <v>5</v>
      </c>
      <c r="AS131" s="112">
        <f t="shared" si="53"/>
        <v>5</v>
      </c>
      <c r="AT131" s="144">
        <v>2.5743785644130823</v>
      </c>
      <c r="AU131" s="144">
        <v>120</v>
      </c>
      <c r="AV131" s="114">
        <f t="shared" si="41"/>
        <v>30</v>
      </c>
      <c r="AW131" s="115" t="str">
        <f t="shared" si="74"/>
        <v>10</v>
      </c>
      <c r="AX131" s="116">
        <f t="shared" si="61"/>
        <v>15</v>
      </c>
      <c r="AY131" s="117">
        <f t="shared" si="62"/>
        <v>0.17647058823529413</v>
      </c>
      <c r="AZ131" s="118" t="str">
        <f t="shared" si="54"/>
        <v>5</v>
      </c>
      <c r="BA131" s="119" t="str">
        <f t="shared" si="63"/>
        <v>5</v>
      </c>
      <c r="BB131" s="145"/>
      <c r="BC131" s="144">
        <v>1000</v>
      </c>
      <c r="BD131" s="113" t="s">
        <v>97</v>
      </c>
      <c r="BE131" s="120">
        <f t="shared" si="59"/>
        <v>15</v>
      </c>
      <c r="BF131" s="121" t="str">
        <f t="shared" si="55"/>
        <v>Production modérée</v>
      </c>
      <c r="BG131" s="122" t="str">
        <f t="shared" si="56"/>
        <v>C</v>
      </c>
      <c r="BH131" s="145"/>
      <c r="BI131" s="7" t="s">
        <v>1464</v>
      </c>
      <c r="BJ131" s="130">
        <v>3</v>
      </c>
      <c r="BK131" s="7" t="s">
        <v>1465</v>
      </c>
      <c r="BL131" s="131">
        <v>2</v>
      </c>
      <c r="BM131" s="132" t="s">
        <v>131</v>
      </c>
      <c r="BN131"/>
      <c r="BO131" s="60" t="str">
        <f t="shared" si="75"/>
        <v>Catégorie 5C OUI</v>
      </c>
      <c r="BP131"/>
      <c r="BQ131" s="42" t="s">
        <v>1466</v>
      </c>
      <c r="BR131"/>
      <c r="BS131" s="187" t="str">
        <f t="shared" si="64"/>
        <v/>
      </c>
      <c r="BT131" s="19" t="str">
        <f t="shared" si="65"/>
        <v/>
      </c>
      <c r="BU131" s="19" t="str">
        <f t="shared" si="66"/>
        <v/>
      </c>
      <c r="BV131" s="10"/>
      <c r="BW131" s="5" t="str">
        <f t="shared" si="67"/>
        <v/>
      </c>
      <c r="BX131" s="5" t="str">
        <f t="shared" si="68"/>
        <v>X</v>
      </c>
      <c r="BY131"/>
      <c r="BZ131" s="5" t="str">
        <f t="shared" si="69"/>
        <v>X</v>
      </c>
      <c r="CA131" s="5" t="str">
        <f t="shared" si="70"/>
        <v>X</v>
      </c>
      <c r="CB131" s="188" t="str">
        <f t="shared" si="71"/>
        <v>X</v>
      </c>
    </row>
    <row r="132" spans="1:80" s="27" customFormat="1" ht="39" customHeight="1" x14ac:dyDescent="0.55000000000000004">
      <c r="A132" s="141">
        <v>7</v>
      </c>
      <c r="B132" s="104" t="s">
        <v>1451</v>
      </c>
      <c r="C132" s="141" t="s">
        <v>1526</v>
      </c>
      <c r="D132" s="141" t="s">
        <v>1527</v>
      </c>
      <c r="E132" s="141" t="s">
        <v>1528</v>
      </c>
      <c r="F132" s="141" t="s">
        <v>1529</v>
      </c>
      <c r="G132" s="141" t="s">
        <v>1530</v>
      </c>
      <c r="H132" s="141" t="s">
        <v>1531</v>
      </c>
      <c r="I132" s="104" t="s">
        <v>88</v>
      </c>
      <c r="J132" s="104" t="s">
        <v>88</v>
      </c>
      <c r="K132" s="141" t="s">
        <v>88</v>
      </c>
      <c r="L132" s="142"/>
      <c r="M132" s="142"/>
      <c r="N132" s="142"/>
      <c r="O132" s="142"/>
      <c r="P132" s="142" t="s">
        <v>85</v>
      </c>
      <c r="Q132" s="142"/>
      <c r="R132" s="142"/>
      <c r="S132" s="142" t="s">
        <v>1274</v>
      </c>
      <c r="T132" s="142"/>
      <c r="U132" s="141" t="s">
        <v>1532</v>
      </c>
      <c r="V132" s="141" t="s">
        <v>122</v>
      </c>
      <c r="W132" s="141" t="s">
        <v>1533</v>
      </c>
      <c r="X132" s="141" t="s">
        <v>1534</v>
      </c>
      <c r="Y132" s="151" t="s">
        <v>1535</v>
      </c>
      <c r="Z132" s="149">
        <v>4.05</v>
      </c>
      <c r="AA132" s="104"/>
      <c r="AB132" s="152">
        <v>3.3445814263802101</v>
      </c>
      <c r="AC132" s="149" t="s">
        <v>1536</v>
      </c>
      <c r="AD132" s="141" t="s">
        <v>1537</v>
      </c>
      <c r="AE132" s="1"/>
      <c r="AF132" s="30" t="str" cm="1">
        <f t="array" ref="AF132">_xlfn.IFS(COUNTIF(Table14623576[[#This Row],[PBT/ vPvB]],"*X*"), 20, TRUE, "")</f>
        <v/>
      </c>
      <c r="AG132" s="30" t="str" cm="1">
        <f t="array" ref="AG132">_xlfn.IFS(COUNTIF(Table14623576[[#This Row],[Perturbateur Endocrinien]],"*X*"), 20, TRUE, "")</f>
        <v/>
      </c>
      <c r="AH132" s="30" t="str" cm="1">
        <f t="array" ref="AH132">_xlfn.IFS(COUNTIF(Table14623576[[#This Row],[Phrases H]],"*H350*"), 20, TRUE, "")</f>
        <v/>
      </c>
      <c r="AI132" s="30" t="str" cm="1">
        <f t="array" ref="AI132">_xlfn.IFS(COUNTIF(Table14623576[[#This Row],[Phrases H]],"*H360*"), 20, TRUE, "")</f>
        <v/>
      </c>
      <c r="AJ132" s="30" t="str" cm="1">
        <f t="array" ref="AJ132">_xlfn.IFS(COUNTIF(Table14623576[[#This Row],[Phrases H]],"*H340*"), 20, TRUE, "")</f>
        <v/>
      </c>
      <c r="AK132" s="30" t="str" cm="1">
        <f t="array" ref="AK132">_xlfn.IFS(COUNTIF(Table14623576[[#This Row],[Phrases H]],"*H351*"), 10, TRUE, "")</f>
        <v/>
      </c>
      <c r="AL132" s="30" t="str" cm="1">
        <f t="array" ref="AL132">_xlfn.IFS(COUNTIF(Table14623576[[#This Row],[Phrases H]],"*H361*"), 10, TRUE, "")</f>
        <v/>
      </c>
      <c r="AM132" s="30" t="str" cm="1">
        <f t="array" ref="AM132">_xlfn.IFS(COUNTIF(Table14623576[[#This Row],[Phrases H]],"*H362*"), 10, TRUE, "")</f>
        <v/>
      </c>
      <c r="AN132" s="30" t="str" cm="1">
        <f t="array" ref="AN132">_xlfn.IFS(COUNTIF(Table14623576[[#This Row],[Phrases H]],"*H341*"), 10, TRUE, "")</f>
        <v/>
      </c>
      <c r="AO132" s="30" t="str" cm="1">
        <f t="array" ref="AO132">_xlfn.IFS(COUNTIF(Table14623576[[#This Row],[Phrases H]],"*H372*"), 10, TRUE, "")</f>
        <v/>
      </c>
      <c r="AP132" s="30" cm="1">
        <f t="array" ref="AP132">_xlfn.IFS(COUNTIF(Table14623576[[#This Row],[Phrases H]],"*H410*"), 10, TRUE, "")</f>
        <v>10</v>
      </c>
      <c r="AQ132" s="30" t="str" cm="1">
        <f t="array" ref="AQ132">_xlfn.IFS(COUNTIF(Table14623576[[#This Row],[Phrases H]],"*H373*"), 5, TRUE, "")</f>
        <v/>
      </c>
      <c r="AR132" s="30" t="str" cm="1">
        <f t="array" ref="AR132">_xlfn.IFS(COUNTIF(Table14623576[[#This Row],[Phrases H]],"*H411*"), 5, TRUE, "")</f>
        <v/>
      </c>
      <c r="AS132" s="112">
        <f t="shared" si="53"/>
        <v>10</v>
      </c>
      <c r="AT132" s="144">
        <v>3.3445814263802101</v>
      </c>
      <c r="AU132" s="144">
        <v>18</v>
      </c>
      <c r="AV132" s="114">
        <f t="shared" si="41"/>
        <v>30</v>
      </c>
      <c r="AW132" s="115" t="str">
        <f t="shared" si="74"/>
        <v>0</v>
      </c>
      <c r="AX132" s="116">
        <f t="shared" si="61"/>
        <v>10</v>
      </c>
      <c r="AY132" s="117">
        <f t="shared" si="62"/>
        <v>0.11764705882352941</v>
      </c>
      <c r="AZ132" s="118" t="str">
        <f t="shared" si="54"/>
        <v>5</v>
      </c>
      <c r="BA132" s="119" t="str">
        <f t="shared" si="63"/>
        <v>5</v>
      </c>
      <c r="BB132" s="145"/>
      <c r="BC132" s="144" t="s">
        <v>88</v>
      </c>
      <c r="BD132" s="113" t="s">
        <v>97</v>
      </c>
      <c r="BE132" s="120">
        <f t="shared" si="59"/>
        <v>0</v>
      </c>
      <c r="BF132" s="121" t="str">
        <f t="shared" si="55"/>
        <v>N/A</v>
      </c>
      <c r="BG132" s="122" t="str">
        <f t="shared" si="56"/>
        <v>E</v>
      </c>
      <c r="BH132" s="145"/>
      <c r="BI132" s="7" t="s">
        <v>1538</v>
      </c>
      <c r="BJ132" s="130">
        <v>2</v>
      </c>
      <c r="BK132" s="7" t="s">
        <v>1539</v>
      </c>
      <c r="BL132" s="131">
        <v>1</v>
      </c>
      <c r="BM132" s="132" t="s">
        <v>131</v>
      </c>
      <c r="BN132"/>
      <c r="BO132" s="60" t="str">
        <f t="shared" si="75"/>
        <v>Catégorie 5E OUI</v>
      </c>
      <c r="BP132"/>
      <c r="BQ132" s="42" t="s">
        <v>1466</v>
      </c>
      <c r="BR132"/>
      <c r="BS132" s="187" t="str">
        <f t="shared" si="64"/>
        <v/>
      </c>
      <c r="BT132" s="19" t="str">
        <f t="shared" si="65"/>
        <v/>
      </c>
      <c r="BU132" s="19" t="str">
        <f t="shared" si="66"/>
        <v/>
      </c>
      <c r="BV132" s="10"/>
      <c r="BW132" s="5" t="str">
        <f t="shared" si="67"/>
        <v>X</v>
      </c>
      <c r="BX132" s="5" t="str">
        <f t="shared" si="68"/>
        <v>X</v>
      </c>
      <c r="BY132"/>
      <c r="BZ132" s="5" t="str">
        <f t="shared" si="69"/>
        <v>X</v>
      </c>
      <c r="CA132" s="5" t="str">
        <f t="shared" si="70"/>
        <v>X</v>
      </c>
      <c r="CB132" s="188" t="str">
        <f t="shared" si="71"/>
        <v>X</v>
      </c>
    </row>
    <row r="133" spans="1:80" s="27" customFormat="1" ht="30" customHeight="1" x14ac:dyDescent="0.55000000000000004">
      <c r="A133" s="141">
        <v>8</v>
      </c>
      <c r="B133" s="104" t="s">
        <v>1451</v>
      </c>
      <c r="C133" s="141" t="s">
        <v>1540</v>
      </c>
      <c r="D133" s="141" t="s">
        <v>1527</v>
      </c>
      <c r="E133" s="141" t="s">
        <v>1541</v>
      </c>
      <c r="F133" s="141" t="s">
        <v>1542</v>
      </c>
      <c r="G133" s="141" t="s">
        <v>1530</v>
      </c>
      <c r="H133" s="141" t="s">
        <v>1543</v>
      </c>
      <c r="I133" s="104" t="s">
        <v>88</v>
      </c>
      <c r="J133" s="104" t="s">
        <v>88</v>
      </c>
      <c r="K133" s="141" t="s">
        <v>88</v>
      </c>
      <c r="L133" s="142"/>
      <c r="M133" s="142"/>
      <c r="N133" s="142"/>
      <c r="O133" s="142" t="s">
        <v>85</v>
      </c>
      <c r="P133" s="142" t="s">
        <v>85</v>
      </c>
      <c r="Q133" s="142"/>
      <c r="R133" s="142"/>
      <c r="S133" s="142" t="s">
        <v>1274</v>
      </c>
      <c r="T133" s="142"/>
      <c r="U133" s="141" t="s">
        <v>1544</v>
      </c>
      <c r="V133" s="141" t="s">
        <v>122</v>
      </c>
      <c r="W133" s="151" t="s">
        <v>1545</v>
      </c>
      <c r="X133" s="151" t="s">
        <v>1546</v>
      </c>
      <c r="Y133" s="151" t="s">
        <v>1547</v>
      </c>
      <c r="Z133" s="149">
        <v>3.98</v>
      </c>
      <c r="AA133" s="104"/>
      <c r="AB133" s="152">
        <v>3.3151000000000002</v>
      </c>
      <c r="AC133" s="149" t="s">
        <v>1548</v>
      </c>
      <c r="AD133" s="141" t="s">
        <v>1549</v>
      </c>
      <c r="AE133" s="1"/>
      <c r="AF133" s="30" t="str" cm="1">
        <f t="array" ref="AF133">_xlfn.IFS(COUNTIF(Table14623576[[#This Row],[PBT/ vPvB]],"*X*"), 20, TRUE, "")</f>
        <v/>
      </c>
      <c r="AG133" s="30" t="str" cm="1">
        <f t="array" ref="AG133">_xlfn.IFS(COUNTIF(Table14623576[[#This Row],[Perturbateur Endocrinien]],"*X*"), 20, TRUE, "")</f>
        <v/>
      </c>
      <c r="AH133" s="30" t="str" cm="1">
        <f t="array" ref="AH133">_xlfn.IFS(COUNTIF(Table14623576[[#This Row],[Phrases H]],"*H350*"), 20, TRUE, "")</f>
        <v/>
      </c>
      <c r="AI133" s="30" t="str" cm="1">
        <f t="array" ref="AI133">_xlfn.IFS(COUNTIF(Table14623576[[#This Row],[Phrases H]],"*H360*"), 20, TRUE, "")</f>
        <v/>
      </c>
      <c r="AJ133" s="30" t="str" cm="1">
        <f t="array" ref="AJ133">_xlfn.IFS(COUNTIF(Table14623576[[#This Row],[Phrases H]],"*H340*"), 20, TRUE, "")</f>
        <v/>
      </c>
      <c r="AK133" s="30" t="str" cm="1">
        <f t="array" ref="AK133">_xlfn.IFS(COUNTIF(Table14623576[[#This Row],[Phrases H]],"*H351*"), 10, TRUE, "")</f>
        <v/>
      </c>
      <c r="AL133" s="30" t="str" cm="1">
        <f t="array" ref="AL133">_xlfn.IFS(COUNTIF(Table14623576[[#This Row],[Phrases H]],"*H361*"), 10, TRUE, "")</f>
        <v/>
      </c>
      <c r="AM133" s="30" t="str" cm="1">
        <f t="array" ref="AM133">_xlfn.IFS(COUNTIF(Table14623576[[#This Row],[Phrases H]],"*H362*"), 10, TRUE, "")</f>
        <v/>
      </c>
      <c r="AN133" s="30" t="str" cm="1">
        <f t="array" ref="AN133">_xlfn.IFS(COUNTIF(Table14623576[[#This Row],[Phrases H]],"*H341*"), 10, TRUE, "")</f>
        <v/>
      </c>
      <c r="AO133" s="30" t="str" cm="1">
        <f t="array" ref="AO133">_xlfn.IFS(COUNTIF(Table14623576[[#This Row],[Phrases H]],"*H372*"), 10, TRUE, "")</f>
        <v/>
      </c>
      <c r="AP133" s="30" cm="1">
        <f t="array" ref="AP133">_xlfn.IFS(COUNTIF(Table14623576[[#This Row],[Phrases H]],"*H410*"), 10, TRUE, "")</f>
        <v>10</v>
      </c>
      <c r="AQ133" s="30" t="str" cm="1">
        <f t="array" ref="AQ133">_xlfn.IFS(COUNTIF(Table14623576[[#This Row],[Phrases H]],"*H373*"), 5, TRUE, "")</f>
        <v/>
      </c>
      <c r="AR133" s="30" t="str" cm="1">
        <f t="array" ref="AR133">_xlfn.IFS(COUNTIF(Table14623576[[#This Row],[Phrases H]],"*H411*"), 5, TRUE, "")</f>
        <v/>
      </c>
      <c r="AS133" s="112">
        <f t="shared" si="53"/>
        <v>10</v>
      </c>
      <c r="AT133" s="144">
        <v>3.3151000000000002</v>
      </c>
      <c r="AU133" s="144">
        <v>29</v>
      </c>
      <c r="AV133" s="114">
        <f t="shared" ref="AV133:AV180" si="76">IF(AU133="N/A","N/A",IF(AU133&gt;=100000,50,(IF(AU133&gt;=1000,40,(IF(AU133&gt;=10,30,(IF(AU133&gt;0.1,20,(IF(AU133&lt;0.1,10,0))))))))))</f>
        <v>30</v>
      </c>
      <c r="AW133" s="115" t="str">
        <f t="shared" si="74"/>
        <v>0</v>
      </c>
      <c r="AX133" s="116">
        <f t="shared" ref="AX133:AX164" si="77">AS133+AW133</f>
        <v>10</v>
      </c>
      <c r="AY133" s="117">
        <f t="shared" ref="AY133:AY164" si="78">AX133/85</f>
        <v>0.11764705882352941</v>
      </c>
      <c r="AZ133" s="118" t="str">
        <f t="shared" si="54"/>
        <v>5</v>
      </c>
      <c r="BA133" s="119" t="str">
        <f t="shared" ref="BA133:BA164" si="79">IF(AX133&lt;=17,"5",IF(AX133&lt;=34,"4",IF(AX133&lt;=51,"3",IF(AX133&lt;=68,"2","1"))))</f>
        <v>5</v>
      </c>
      <c r="BB133" s="145"/>
      <c r="BC133" s="144" t="s">
        <v>88</v>
      </c>
      <c r="BD133" s="113" t="s">
        <v>97</v>
      </c>
      <c r="BE133" s="120">
        <f t="shared" si="59"/>
        <v>0</v>
      </c>
      <c r="BF133" s="121" t="str">
        <f t="shared" si="55"/>
        <v>N/A</v>
      </c>
      <c r="BG133" s="122" t="str">
        <f t="shared" si="56"/>
        <v>E</v>
      </c>
      <c r="BH133" s="145"/>
      <c r="BI133" s="7" t="s">
        <v>1538</v>
      </c>
      <c r="BJ133" s="130">
        <v>2</v>
      </c>
      <c r="BK133" s="7" t="s">
        <v>889</v>
      </c>
      <c r="BL133" s="131">
        <v>1</v>
      </c>
      <c r="BM133" s="132" t="s">
        <v>131</v>
      </c>
      <c r="BN133"/>
      <c r="BO133" s="60" t="str">
        <f t="shared" si="75"/>
        <v>Catégorie 5E OUI</v>
      </c>
      <c r="BP133"/>
      <c r="BQ133" s="42" t="s">
        <v>1466</v>
      </c>
      <c r="BR133"/>
      <c r="BS133" s="187" t="str">
        <f t="shared" ref="BS133:BS164" si="80">IF(AY133&gt;=0.4,"X","")</f>
        <v/>
      </c>
      <c r="BT133" s="19" t="str">
        <f t="shared" ref="BT133:BT164" si="81">IF(AY133&gt;=0.5,"X","")</f>
        <v/>
      </c>
      <c r="BU133" s="19" t="str">
        <f t="shared" ref="BU133:BU164" si="82">IF(AY133&gt;=0.6,"X","")</f>
        <v/>
      </c>
      <c r="BV133" s="10"/>
      <c r="BW133" s="5" t="str">
        <f t="shared" ref="BW133:BW164" si="83">IF(OR(BG133="D", BG133="E"), "X", "")</f>
        <v>X</v>
      </c>
      <c r="BX133" s="5" t="str">
        <f t="shared" ref="BX133:BX164" si="84">IF(BM133="OUI", "X", "")</f>
        <v>X</v>
      </c>
      <c r="BY133"/>
      <c r="BZ133" s="5" t="str">
        <f t="shared" ref="BZ133:BZ164" si="85">IF(OR(AND(BS133="X", BW133&lt;&gt;"X"), AND(BX133="X")), "X", "")</f>
        <v>X</v>
      </c>
      <c r="CA133" s="5" t="str">
        <f t="shared" ref="CA133:CA164" si="86">IF(OR(AND(BT133="X", BW133&lt;&gt;"X"), AND(BX133="X")), "X", "")</f>
        <v>X</v>
      </c>
      <c r="CB133" s="188" t="str">
        <f t="shared" ref="CB133:CB164" si="87">IF(OR(AND(BU133="X", BW133&lt;&gt;"X"), AND(BX133="X")), "X", "")</f>
        <v>X</v>
      </c>
    </row>
    <row r="134" spans="1:80" s="27" customFormat="1" ht="30" customHeight="1" x14ac:dyDescent="0.55000000000000004">
      <c r="A134" s="141">
        <v>9</v>
      </c>
      <c r="B134" s="104" t="s">
        <v>1451</v>
      </c>
      <c r="C134" s="141" t="s">
        <v>1550</v>
      </c>
      <c r="D134" s="141" t="s">
        <v>1527</v>
      </c>
      <c r="E134" s="141" t="s">
        <v>1551</v>
      </c>
      <c r="F134" s="141" t="s">
        <v>1552</v>
      </c>
      <c r="G134" s="141" t="s">
        <v>1530</v>
      </c>
      <c r="H134" s="141" t="s">
        <v>1553</v>
      </c>
      <c r="I134" s="104" t="s">
        <v>88</v>
      </c>
      <c r="J134" s="104" t="s">
        <v>88</v>
      </c>
      <c r="K134" s="141" t="s">
        <v>186</v>
      </c>
      <c r="L134" s="142"/>
      <c r="M134" s="142"/>
      <c r="N134" s="142"/>
      <c r="O134" s="142"/>
      <c r="P134" s="142" t="s">
        <v>85</v>
      </c>
      <c r="Q134" s="142"/>
      <c r="R134" s="142"/>
      <c r="S134" s="142" t="s">
        <v>1274</v>
      </c>
      <c r="T134" s="142"/>
      <c r="U134" s="141" t="s">
        <v>1554</v>
      </c>
      <c r="V134" s="141" t="s">
        <v>122</v>
      </c>
      <c r="W134" s="141" t="s">
        <v>1555</v>
      </c>
      <c r="X134" s="141" t="s">
        <v>1556</v>
      </c>
      <c r="Y134" s="151" t="s">
        <v>1557</v>
      </c>
      <c r="Z134" s="149">
        <v>4.1900000000000004</v>
      </c>
      <c r="AA134" s="104"/>
      <c r="AB134" s="152">
        <v>3.5151221876456602</v>
      </c>
      <c r="AC134" s="149" t="s">
        <v>1558</v>
      </c>
      <c r="AD134" s="141" t="s">
        <v>1559</v>
      </c>
      <c r="AE134" s="1"/>
      <c r="AF134" s="30" t="str" cm="1">
        <f t="array" ref="AF134">_xlfn.IFS(COUNTIF(Table14623576[[#This Row],[PBT/ vPvB]],"*X*"), 20, TRUE, "")</f>
        <v/>
      </c>
      <c r="AG134" s="30" t="str" cm="1">
        <f t="array" ref="AG134">_xlfn.IFS(COUNTIF(Table14623576[[#This Row],[Perturbateur Endocrinien]],"*X*"), 20, TRUE, "")</f>
        <v/>
      </c>
      <c r="AH134" s="30" t="str" cm="1">
        <f t="array" ref="AH134">_xlfn.IFS(COUNTIF(Table14623576[[#This Row],[Phrases H]],"*H350*"), 20, TRUE, "")</f>
        <v/>
      </c>
      <c r="AI134" s="30" t="str" cm="1">
        <f t="array" ref="AI134">_xlfn.IFS(COUNTIF(Table14623576[[#This Row],[Phrases H]],"*H360*"), 20, TRUE, "")</f>
        <v/>
      </c>
      <c r="AJ134" s="30" t="str" cm="1">
        <f t="array" ref="AJ134">_xlfn.IFS(COUNTIF(Table14623576[[#This Row],[Phrases H]],"*H340*"), 20, TRUE, "")</f>
        <v/>
      </c>
      <c r="AK134" s="30" t="str" cm="1">
        <f t="array" ref="AK134">_xlfn.IFS(COUNTIF(Table14623576[[#This Row],[Phrases H]],"*H351*"), 10, TRUE, "")</f>
        <v/>
      </c>
      <c r="AL134" s="30" t="str" cm="1">
        <f t="array" ref="AL134">_xlfn.IFS(COUNTIF(Table14623576[[#This Row],[Phrases H]],"*H361*"), 10, TRUE, "")</f>
        <v/>
      </c>
      <c r="AM134" s="30" t="str" cm="1">
        <f t="array" ref="AM134">_xlfn.IFS(COUNTIF(Table14623576[[#This Row],[Phrases H]],"*H362*"), 10, TRUE, "")</f>
        <v/>
      </c>
      <c r="AN134" s="30" t="str" cm="1">
        <f t="array" ref="AN134">_xlfn.IFS(COUNTIF(Table14623576[[#This Row],[Phrases H]],"*H341*"), 10, TRUE, "")</f>
        <v/>
      </c>
      <c r="AO134" s="30" t="str" cm="1">
        <f t="array" ref="AO134">_xlfn.IFS(COUNTIF(Table14623576[[#This Row],[Phrases H]],"*H372*"), 10, TRUE, "")</f>
        <v/>
      </c>
      <c r="AP134" s="30" t="str" cm="1">
        <f t="array" ref="AP134">_xlfn.IFS(COUNTIF(Table14623576[[#This Row],[Phrases H]],"*H410*"), 10, TRUE, "")</f>
        <v/>
      </c>
      <c r="AQ134" s="30" t="str" cm="1">
        <f t="array" ref="AQ134">_xlfn.IFS(COUNTIF(Table14623576[[#This Row],[Phrases H]],"*H373*"), 5, TRUE, "")</f>
        <v/>
      </c>
      <c r="AR134" s="30" cm="1">
        <f t="array" ref="AR134">_xlfn.IFS(COUNTIF(Table14623576[[#This Row],[Phrases H]],"*H411*"), 5, TRUE, "")</f>
        <v>5</v>
      </c>
      <c r="AS134" s="112">
        <f t="shared" ref="AS134:AS162" si="88">SUM(AF134:AR134)</f>
        <v>5</v>
      </c>
      <c r="AT134" s="144">
        <v>3.5151221876456602</v>
      </c>
      <c r="AU134" s="144">
        <v>6.01</v>
      </c>
      <c r="AV134" s="114">
        <f t="shared" si="76"/>
        <v>20</v>
      </c>
      <c r="AW134" s="115" t="str">
        <f t="shared" si="74"/>
        <v>0</v>
      </c>
      <c r="AX134" s="116">
        <f t="shared" si="77"/>
        <v>5</v>
      </c>
      <c r="AY134" s="117">
        <f t="shared" si="78"/>
        <v>5.8823529411764705E-2</v>
      </c>
      <c r="AZ134" s="118" t="str">
        <f t="shared" ref="AZ134:AZ180" si="89">IF(AY134&lt;=0.2,"5",IF(AY134&lt;=0.4,"4",IF(AY134&lt;=0.6,"3",IF(AY134&lt;=0.8,"2","1"))))</f>
        <v>5</v>
      </c>
      <c r="BA134" s="119" t="str">
        <f t="shared" si="79"/>
        <v>5</v>
      </c>
      <c r="BB134" s="145"/>
      <c r="BC134" s="144">
        <v>10</v>
      </c>
      <c r="BD134" s="113" t="s">
        <v>97</v>
      </c>
      <c r="BE134" s="120">
        <f t="shared" si="59"/>
        <v>5</v>
      </c>
      <c r="BF134" s="121" t="str">
        <f t="shared" ref="BF134:BF162" si="90">IF(BE134=25,"Production très élevée",IF(BE134=20,"Production élevée",IF(BE134=15,"Production modérée",IF(BE134=10,"Faible production",IF(BE134=5,"Très faible production","N/A")))))</f>
        <v>Très faible production</v>
      </c>
      <c r="BG134" s="122" t="str">
        <f t="shared" ref="BG134:BG162" si="91">IF(BE134&lt;=5,"E",IF(BE134&lt;=10,"D",IF(BE134&lt;=15,"C",IF(BE134&lt;=20,"B","A"))))</f>
        <v>E</v>
      </c>
      <c r="BH134" s="145"/>
      <c r="BI134" s="7" t="s">
        <v>1538</v>
      </c>
      <c r="BJ134" s="130">
        <v>2</v>
      </c>
      <c r="BK134" s="7" t="s">
        <v>889</v>
      </c>
      <c r="BL134" s="131">
        <v>1</v>
      </c>
      <c r="BM134" s="132" t="s">
        <v>131</v>
      </c>
      <c r="BN134"/>
      <c r="BO134" s="60" t="str">
        <f t="shared" si="75"/>
        <v>Catégorie 5E OUI</v>
      </c>
      <c r="BP134"/>
      <c r="BQ134" s="42" t="s">
        <v>1466</v>
      </c>
      <c r="BR134"/>
      <c r="BS134" s="187" t="str">
        <f t="shared" si="80"/>
        <v/>
      </c>
      <c r="BT134" s="19" t="str">
        <f t="shared" si="81"/>
        <v/>
      </c>
      <c r="BU134" s="19" t="str">
        <f t="shared" si="82"/>
        <v/>
      </c>
      <c r="BV134" s="10"/>
      <c r="BW134" s="5" t="str">
        <f t="shared" si="83"/>
        <v>X</v>
      </c>
      <c r="BX134" s="5" t="str">
        <f t="shared" si="84"/>
        <v>X</v>
      </c>
      <c r="BY134"/>
      <c r="BZ134" s="5" t="str">
        <f t="shared" si="85"/>
        <v>X</v>
      </c>
      <c r="CA134" s="5" t="str">
        <f t="shared" si="86"/>
        <v>X</v>
      </c>
      <c r="CB134" s="188" t="str">
        <f t="shared" si="87"/>
        <v>X</v>
      </c>
    </row>
    <row r="135" spans="1:80" s="27" customFormat="1" ht="30" customHeight="1" x14ac:dyDescent="0.55000000000000004">
      <c r="A135" s="141">
        <v>10</v>
      </c>
      <c r="B135" s="104" t="s">
        <v>1451</v>
      </c>
      <c r="C135" s="141" t="s">
        <v>1560</v>
      </c>
      <c r="D135" s="141" t="s">
        <v>1561</v>
      </c>
      <c r="E135" s="141" t="s">
        <v>1562</v>
      </c>
      <c r="F135" s="141" t="s">
        <v>1563</v>
      </c>
      <c r="G135" s="141" t="s">
        <v>1564</v>
      </c>
      <c r="H135" s="141" t="s">
        <v>1565</v>
      </c>
      <c r="I135" s="104" t="s">
        <v>88</v>
      </c>
      <c r="J135" s="104" t="s">
        <v>88</v>
      </c>
      <c r="K135" s="141" t="s">
        <v>88</v>
      </c>
      <c r="L135" s="142"/>
      <c r="M135" s="142"/>
      <c r="N135" s="142"/>
      <c r="O135" s="142"/>
      <c r="P135" s="142" t="s">
        <v>85</v>
      </c>
      <c r="Q135" s="142"/>
      <c r="R135" s="142"/>
      <c r="S135" s="142" t="s">
        <v>88</v>
      </c>
      <c r="T135" s="142"/>
      <c r="U135" s="141" t="s">
        <v>1566</v>
      </c>
      <c r="V135" s="141" t="s">
        <v>122</v>
      </c>
      <c r="W135" s="151" t="s">
        <v>1567</v>
      </c>
      <c r="X135" s="151" t="s">
        <v>1568</v>
      </c>
      <c r="Y135" s="151" t="s">
        <v>1569</v>
      </c>
      <c r="Z135" s="149">
        <v>4.55</v>
      </c>
      <c r="AA135" s="104"/>
      <c r="AB135" s="152">
        <v>3.7050000000000001</v>
      </c>
      <c r="AC135" s="149" t="s">
        <v>1570</v>
      </c>
      <c r="AD135" s="141" t="s">
        <v>1571</v>
      </c>
      <c r="AE135" s="1"/>
      <c r="AF135" s="30" t="str" cm="1">
        <f t="array" ref="AF135">_xlfn.IFS(COUNTIF(Table14623576[[#This Row],[PBT/ vPvB]],"*X*"), 20, TRUE, "")</f>
        <v/>
      </c>
      <c r="AG135" s="30" t="str" cm="1">
        <f t="array" ref="AG135">_xlfn.IFS(COUNTIF(Table14623576[[#This Row],[Perturbateur Endocrinien]],"*X*"), 20, TRUE, "")</f>
        <v/>
      </c>
      <c r="AH135" s="30" t="str" cm="1">
        <f t="array" ref="AH135">_xlfn.IFS(COUNTIF(Table14623576[[#This Row],[Phrases H]],"*H350*"), 20, TRUE, "")</f>
        <v/>
      </c>
      <c r="AI135" s="30" t="str" cm="1">
        <f t="array" ref="AI135">_xlfn.IFS(COUNTIF(Table14623576[[#This Row],[Phrases H]],"*H360*"), 20, TRUE, "")</f>
        <v/>
      </c>
      <c r="AJ135" s="30" t="str" cm="1">
        <f t="array" ref="AJ135">_xlfn.IFS(COUNTIF(Table14623576[[#This Row],[Phrases H]],"*H340*"), 20, TRUE, "")</f>
        <v/>
      </c>
      <c r="AK135" s="30" t="str" cm="1">
        <f t="array" ref="AK135">_xlfn.IFS(COUNTIF(Table14623576[[#This Row],[Phrases H]],"*H351*"), 10, TRUE, "")</f>
        <v/>
      </c>
      <c r="AL135" s="30" t="str" cm="1">
        <f t="array" ref="AL135">_xlfn.IFS(COUNTIF(Table14623576[[#This Row],[Phrases H]],"*H361*"), 10, TRUE, "")</f>
        <v/>
      </c>
      <c r="AM135" s="30" t="str" cm="1">
        <f t="array" ref="AM135">_xlfn.IFS(COUNTIF(Table14623576[[#This Row],[Phrases H]],"*H362*"), 10, TRUE, "")</f>
        <v/>
      </c>
      <c r="AN135" s="30" t="str" cm="1">
        <f t="array" ref="AN135">_xlfn.IFS(COUNTIF(Table14623576[[#This Row],[Phrases H]],"*H341*"), 10, TRUE, "")</f>
        <v/>
      </c>
      <c r="AO135" s="30" t="str" cm="1">
        <f t="array" ref="AO135">_xlfn.IFS(COUNTIF(Table14623576[[#This Row],[Phrases H]],"*H372*"), 10, TRUE, "")</f>
        <v/>
      </c>
      <c r="AP135" s="30" cm="1">
        <f t="array" ref="AP135">_xlfn.IFS(COUNTIF(Table14623576[[#This Row],[Phrases H]],"*H410*"), 10, TRUE, "")</f>
        <v>10</v>
      </c>
      <c r="AQ135" s="30" t="str" cm="1">
        <f t="array" ref="AQ135">_xlfn.IFS(COUNTIF(Table14623576[[#This Row],[Phrases H]],"*H373*"), 5, TRUE, "")</f>
        <v/>
      </c>
      <c r="AR135" s="30" t="str" cm="1">
        <f t="array" ref="AR135">_xlfn.IFS(COUNTIF(Table14623576[[#This Row],[Phrases H]],"*H411*"), 5, TRUE, "")</f>
        <v/>
      </c>
      <c r="AS135" s="112">
        <f t="shared" si="88"/>
        <v>10</v>
      </c>
      <c r="AT135" s="144">
        <v>3.7050000000000001</v>
      </c>
      <c r="AU135" s="144">
        <v>2.11</v>
      </c>
      <c r="AV135" s="114">
        <f t="shared" si="76"/>
        <v>20</v>
      </c>
      <c r="AW135" s="115" t="str">
        <f t="shared" si="74"/>
        <v>0</v>
      </c>
      <c r="AX135" s="116">
        <f t="shared" si="77"/>
        <v>10</v>
      </c>
      <c r="AY135" s="117">
        <f t="shared" si="78"/>
        <v>0.11764705882352941</v>
      </c>
      <c r="AZ135" s="118" t="str">
        <f t="shared" si="89"/>
        <v>5</v>
      </c>
      <c r="BA135" s="119" t="str">
        <f t="shared" si="79"/>
        <v>5</v>
      </c>
      <c r="BB135" s="145"/>
      <c r="BC135" s="144" t="s">
        <v>88</v>
      </c>
      <c r="BD135" s="113" t="s">
        <v>97</v>
      </c>
      <c r="BE135" s="120">
        <f t="shared" si="59"/>
        <v>0</v>
      </c>
      <c r="BF135" s="121" t="str">
        <f t="shared" si="90"/>
        <v>N/A</v>
      </c>
      <c r="BG135" s="122" t="str">
        <f t="shared" si="91"/>
        <v>E</v>
      </c>
      <c r="BH135" s="145"/>
      <c r="BI135" s="7" t="s">
        <v>889</v>
      </c>
      <c r="BJ135" s="130">
        <v>1</v>
      </c>
      <c r="BK135" s="7" t="s">
        <v>889</v>
      </c>
      <c r="BL135" s="131">
        <v>1</v>
      </c>
      <c r="BM135" s="132" t="s">
        <v>131</v>
      </c>
      <c r="BN135"/>
      <c r="BO135" s="60" t="str">
        <f t="shared" si="75"/>
        <v>Catégorie 5E OUI</v>
      </c>
      <c r="BP135"/>
      <c r="BQ135" s="42" t="s">
        <v>1466</v>
      </c>
      <c r="BR135"/>
      <c r="BS135" s="187" t="str">
        <f t="shared" si="80"/>
        <v/>
      </c>
      <c r="BT135" s="19" t="str">
        <f t="shared" si="81"/>
        <v/>
      </c>
      <c r="BU135" s="19" t="str">
        <f t="shared" si="82"/>
        <v/>
      </c>
      <c r="BV135" s="10"/>
      <c r="BW135" s="5" t="str">
        <f t="shared" si="83"/>
        <v>X</v>
      </c>
      <c r="BX135" s="5" t="str">
        <f t="shared" si="84"/>
        <v>X</v>
      </c>
      <c r="BY135"/>
      <c r="BZ135" s="5" t="str">
        <f t="shared" si="85"/>
        <v>X</v>
      </c>
      <c r="CA135" s="5" t="str">
        <f t="shared" si="86"/>
        <v>X</v>
      </c>
      <c r="CB135" s="188" t="str">
        <f t="shared" si="87"/>
        <v>X</v>
      </c>
    </row>
    <row r="136" spans="1:80" s="27" customFormat="1" ht="30" customHeight="1" x14ac:dyDescent="0.55000000000000004">
      <c r="A136" s="141">
        <v>11</v>
      </c>
      <c r="B136" s="104" t="s">
        <v>1451</v>
      </c>
      <c r="C136" s="141" t="s">
        <v>1572</v>
      </c>
      <c r="D136" s="141" t="s">
        <v>1561</v>
      </c>
      <c r="E136" s="141" t="s">
        <v>1573</v>
      </c>
      <c r="F136" s="141" t="s">
        <v>1574</v>
      </c>
      <c r="G136" s="141" t="s">
        <v>1564</v>
      </c>
      <c r="H136" s="141" t="s">
        <v>1575</v>
      </c>
      <c r="I136" s="104" t="s">
        <v>88</v>
      </c>
      <c r="J136" s="104" t="s">
        <v>88</v>
      </c>
      <c r="K136" s="141" t="s">
        <v>88</v>
      </c>
      <c r="L136" s="142"/>
      <c r="M136" s="142"/>
      <c r="N136" s="142"/>
      <c r="O136" s="142"/>
      <c r="P136" s="142" t="s">
        <v>85</v>
      </c>
      <c r="Q136" s="142"/>
      <c r="R136" s="142"/>
      <c r="S136" s="142" t="s">
        <v>88</v>
      </c>
      <c r="T136" s="142"/>
      <c r="U136" s="141" t="s">
        <v>1566</v>
      </c>
      <c r="V136" s="141" t="s">
        <v>122</v>
      </c>
      <c r="W136" s="151" t="s">
        <v>1576</v>
      </c>
      <c r="X136" s="151" t="s">
        <v>1577</v>
      </c>
      <c r="Y136" s="151" t="s">
        <v>1578</v>
      </c>
      <c r="Z136" s="149">
        <v>4.6425000000000001</v>
      </c>
      <c r="AA136" s="104"/>
      <c r="AB136" s="152">
        <v>3.2</v>
      </c>
      <c r="AC136" s="149" t="s">
        <v>1579</v>
      </c>
      <c r="AD136" s="141" t="s">
        <v>1580</v>
      </c>
      <c r="AE136" s="1"/>
      <c r="AF136" s="30" t="str" cm="1">
        <f t="array" ref="AF136">_xlfn.IFS(COUNTIF(Table14623576[[#This Row],[PBT/ vPvB]],"*X*"), 20, TRUE, "")</f>
        <v/>
      </c>
      <c r="AG136" s="30" t="str" cm="1">
        <f t="array" ref="AG136">_xlfn.IFS(COUNTIF(Table14623576[[#This Row],[Perturbateur Endocrinien]],"*X*"), 20, TRUE, "")</f>
        <v/>
      </c>
      <c r="AH136" s="30" t="str" cm="1">
        <f t="array" ref="AH136">_xlfn.IFS(COUNTIF(Table14623576[[#This Row],[Phrases H]],"*H350*"), 20, TRUE, "")</f>
        <v/>
      </c>
      <c r="AI136" s="30" t="str" cm="1">
        <f t="array" ref="AI136">_xlfn.IFS(COUNTIF(Table14623576[[#This Row],[Phrases H]],"*H360*"), 20, TRUE, "")</f>
        <v/>
      </c>
      <c r="AJ136" s="30" t="str" cm="1">
        <f t="array" ref="AJ136">_xlfn.IFS(COUNTIF(Table14623576[[#This Row],[Phrases H]],"*H340*"), 20, TRUE, "")</f>
        <v/>
      </c>
      <c r="AK136" s="30" t="str" cm="1">
        <f t="array" ref="AK136">_xlfn.IFS(COUNTIF(Table14623576[[#This Row],[Phrases H]],"*H351*"), 10, TRUE, "")</f>
        <v/>
      </c>
      <c r="AL136" s="30" t="str" cm="1">
        <f t="array" ref="AL136">_xlfn.IFS(COUNTIF(Table14623576[[#This Row],[Phrases H]],"*H361*"), 10, TRUE, "")</f>
        <v/>
      </c>
      <c r="AM136" s="30" t="str" cm="1">
        <f t="array" ref="AM136">_xlfn.IFS(COUNTIF(Table14623576[[#This Row],[Phrases H]],"*H362*"), 10, TRUE, "")</f>
        <v/>
      </c>
      <c r="AN136" s="30" t="str" cm="1">
        <f t="array" ref="AN136">_xlfn.IFS(COUNTIF(Table14623576[[#This Row],[Phrases H]],"*H341*"), 10, TRUE, "")</f>
        <v/>
      </c>
      <c r="AO136" s="30" t="str" cm="1">
        <f t="array" ref="AO136">_xlfn.IFS(COUNTIF(Table14623576[[#This Row],[Phrases H]],"*H372*"), 10, TRUE, "")</f>
        <v/>
      </c>
      <c r="AP136" s="30" cm="1">
        <f t="array" ref="AP136">_xlfn.IFS(COUNTIF(Table14623576[[#This Row],[Phrases H]],"*H410*"), 10, TRUE, "")</f>
        <v>10</v>
      </c>
      <c r="AQ136" s="30" t="str" cm="1">
        <f t="array" ref="AQ136">_xlfn.IFS(COUNTIF(Table14623576[[#This Row],[Phrases H]],"*H373*"), 5, TRUE, "")</f>
        <v/>
      </c>
      <c r="AR136" s="30" t="str" cm="1">
        <f t="array" ref="AR136">_xlfn.IFS(COUNTIF(Table14623576[[#This Row],[Phrases H]],"*H411*"), 5, TRUE, "")</f>
        <v/>
      </c>
      <c r="AS136" s="112">
        <f t="shared" si="88"/>
        <v>10</v>
      </c>
      <c r="AT136" s="144">
        <v>3.2</v>
      </c>
      <c r="AU136" s="144">
        <v>2.4300000000000002</v>
      </c>
      <c r="AV136" s="114">
        <f t="shared" si="76"/>
        <v>20</v>
      </c>
      <c r="AW136" s="115" t="str">
        <f t="shared" si="74"/>
        <v>0</v>
      </c>
      <c r="AX136" s="116">
        <f t="shared" si="77"/>
        <v>10</v>
      </c>
      <c r="AY136" s="117">
        <f t="shared" si="78"/>
        <v>0.11764705882352941</v>
      </c>
      <c r="AZ136" s="118" t="str">
        <f t="shared" si="89"/>
        <v>5</v>
      </c>
      <c r="BA136" s="119" t="str">
        <f t="shared" si="79"/>
        <v>5</v>
      </c>
      <c r="BB136" s="145"/>
      <c r="BC136" s="144" t="s">
        <v>88</v>
      </c>
      <c r="BD136" s="113" t="s">
        <v>97</v>
      </c>
      <c r="BE136" s="120">
        <f t="shared" si="59"/>
        <v>0</v>
      </c>
      <c r="BF136" s="121" t="str">
        <f t="shared" si="90"/>
        <v>N/A</v>
      </c>
      <c r="BG136" s="122" t="str">
        <f t="shared" si="91"/>
        <v>E</v>
      </c>
      <c r="BH136" s="145"/>
      <c r="BI136" s="7" t="s">
        <v>889</v>
      </c>
      <c r="BJ136" s="130">
        <v>1</v>
      </c>
      <c r="BK136" s="7" t="s">
        <v>889</v>
      </c>
      <c r="BL136" s="131">
        <v>1</v>
      </c>
      <c r="BM136" s="132" t="s">
        <v>131</v>
      </c>
      <c r="BN136"/>
      <c r="BO136" s="60" t="str">
        <f t="shared" si="75"/>
        <v>Catégorie 5E OUI</v>
      </c>
      <c r="BP136"/>
      <c r="BQ136" s="42" t="s">
        <v>1466</v>
      </c>
      <c r="BR136"/>
      <c r="BS136" s="187" t="str">
        <f t="shared" si="80"/>
        <v/>
      </c>
      <c r="BT136" s="19" t="str">
        <f t="shared" si="81"/>
        <v/>
      </c>
      <c r="BU136" s="19" t="str">
        <f t="shared" si="82"/>
        <v/>
      </c>
      <c r="BV136" s="10"/>
      <c r="BW136" s="5" t="str">
        <f t="shared" si="83"/>
        <v>X</v>
      </c>
      <c r="BX136" s="5" t="str">
        <f t="shared" si="84"/>
        <v>X</v>
      </c>
      <c r="BY136"/>
      <c r="BZ136" s="5" t="str">
        <f t="shared" si="85"/>
        <v>X</v>
      </c>
      <c r="CA136" s="5" t="str">
        <f t="shared" si="86"/>
        <v>X</v>
      </c>
      <c r="CB136" s="188" t="str">
        <f t="shared" si="87"/>
        <v>X</v>
      </c>
    </row>
    <row r="137" spans="1:80" s="27" customFormat="1" ht="30" customHeight="1" x14ac:dyDescent="0.55000000000000004">
      <c r="A137" s="141">
        <v>12</v>
      </c>
      <c r="B137" s="104" t="s">
        <v>1451</v>
      </c>
      <c r="C137" s="141" t="s">
        <v>1581</v>
      </c>
      <c r="D137" s="141" t="s">
        <v>1561</v>
      </c>
      <c r="E137" s="141" t="s">
        <v>1582</v>
      </c>
      <c r="F137" s="141" t="s">
        <v>1583</v>
      </c>
      <c r="G137" s="141" t="s">
        <v>1564</v>
      </c>
      <c r="H137" s="141" t="s">
        <v>1584</v>
      </c>
      <c r="I137" s="104" t="s">
        <v>88</v>
      </c>
      <c r="J137" s="104" t="s">
        <v>88</v>
      </c>
      <c r="K137" s="141" t="s">
        <v>1508</v>
      </c>
      <c r="L137" s="142"/>
      <c r="M137" s="142"/>
      <c r="N137" s="142"/>
      <c r="O137" s="142"/>
      <c r="P137" s="142" t="s">
        <v>85</v>
      </c>
      <c r="Q137" s="142"/>
      <c r="R137" s="142"/>
      <c r="S137" s="142" t="s">
        <v>88</v>
      </c>
      <c r="T137" s="142"/>
      <c r="U137" s="141" t="s">
        <v>1585</v>
      </c>
      <c r="V137" s="141" t="s">
        <v>122</v>
      </c>
      <c r="W137" s="151" t="s">
        <v>1586</v>
      </c>
      <c r="X137" s="151" t="s">
        <v>1587</v>
      </c>
      <c r="Y137" s="151" t="s">
        <v>1588</v>
      </c>
      <c r="Z137" s="149">
        <v>4.6399999999999997</v>
      </c>
      <c r="AA137" s="104"/>
      <c r="AB137" s="152">
        <v>3.4131292090000001</v>
      </c>
      <c r="AC137" s="150" t="s">
        <v>1589</v>
      </c>
      <c r="AD137" s="141" t="s">
        <v>1590</v>
      </c>
      <c r="AE137" s="1"/>
      <c r="AF137" s="30" t="str" cm="1">
        <f t="array" ref="AF137">_xlfn.IFS(COUNTIF(Table14623576[[#This Row],[PBT/ vPvB]],"*X*"), 20, TRUE, "")</f>
        <v/>
      </c>
      <c r="AG137" s="30" t="str" cm="1">
        <f t="array" ref="AG137">_xlfn.IFS(COUNTIF(Table14623576[[#This Row],[Perturbateur Endocrinien]],"*X*"), 20, TRUE, "")</f>
        <v/>
      </c>
      <c r="AH137" s="30" t="str" cm="1">
        <f t="array" ref="AH137">_xlfn.IFS(COUNTIF(Table14623576[[#This Row],[Phrases H]],"*H350*"), 20, TRUE, "")</f>
        <v/>
      </c>
      <c r="AI137" s="30" t="str" cm="1">
        <f t="array" ref="AI137">_xlfn.IFS(COUNTIF(Table14623576[[#This Row],[Phrases H]],"*H360*"), 20, TRUE, "")</f>
        <v/>
      </c>
      <c r="AJ137" s="30" t="str" cm="1">
        <f t="array" ref="AJ137">_xlfn.IFS(COUNTIF(Table14623576[[#This Row],[Phrases H]],"*H340*"), 20, TRUE, "")</f>
        <v/>
      </c>
      <c r="AK137" s="30" t="str" cm="1">
        <f t="array" ref="AK137">_xlfn.IFS(COUNTIF(Table14623576[[#This Row],[Phrases H]],"*H351*"), 10, TRUE, "")</f>
        <v/>
      </c>
      <c r="AL137" s="30" t="str" cm="1">
        <f t="array" ref="AL137">_xlfn.IFS(COUNTIF(Table14623576[[#This Row],[Phrases H]],"*H361*"), 10, TRUE, "")</f>
        <v/>
      </c>
      <c r="AM137" s="30" t="str" cm="1">
        <f t="array" ref="AM137">_xlfn.IFS(COUNTIF(Table14623576[[#This Row],[Phrases H]],"*H362*"), 10, TRUE, "")</f>
        <v/>
      </c>
      <c r="AN137" s="30" t="str" cm="1">
        <f t="array" ref="AN137">_xlfn.IFS(COUNTIF(Table14623576[[#This Row],[Phrases H]],"*H341*"), 10, TRUE, "")</f>
        <v/>
      </c>
      <c r="AO137" s="30" t="str" cm="1">
        <f t="array" ref="AO137">_xlfn.IFS(COUNTIF(Table14623576[[#This Row],[Phrases H]],"*H372*"), 10, TRUE, "")</f>
        <v/>
      </c>
      <c r="AP137" s="30" t="str" cm="1">
        <f t="array" ref="AP137">_xlfn.IFS(COUNTIF(Table14623576[[#This Row],[Phrases H]],"*H410*"), 10, TRUE, "")</f>
        <v/>
      </c>
      <c r="AQ137" s="30" t="str" cm="1">
        <f t="array" ref="AQ137">_xlfn.IFS(COUNTIF(Table14623576[[#This Row],[Phrases H]],"*H373*"), 5, TRUE, "")</f>
        <v/>
      </c>
      <c r="AR137" s="30" t="str" cm="1">
        <f t="array" ref="AR137">_xlfn.IFS(COUNTIF(Table14623576[[#This Row],[Phrases H]],"*H411*"), 5, TRUE, "")</f>
        <v/>
      </c>
      <c r="AS137" s="112">
        <f t="shared" si="88"/>
        <v>0</v>
      </c>
      <c r="AT137" s="144">
        <v>3.4131292090000001</v>
      </c>
      <c r="AU137" s="144">
        <v>0.59499999999999997</v>
      </c>
      <c r="AV137" s="114">
        <f t="shared" si="76"/>
        <v>20</v>
      </c>
      <c r="AW137" s="115" t="str">
        <f t="shared" si="74"/>
        <v>0</v>
      </c>
      <c r="AX137" s="116">
        <f t="shared" si="77"/>
        <v>0</v>
      </c>
      <c r="AY137" s="117">
        <f t="shared" si="78"/>
        <v>0</v>
      </c>
      <c r="AZ137" s="118" t="str">
        <f t="shared" si="89"/>
        <v>5</v>
      </c>
      <c r="BA137" s="119" t="str">
        <f t="shared" si="79"/>
        <v>5</v>
      </c>
      <c r="BB137" s="145"/>
      <c r="BC137" s="144">
        <v>100000</v>
      </c>
      <c r="BD137" s="113" t="s">
        <v>97</v>
      </c>
      <c r="BE137" s="120">
        <f t="shared" si="59"/>
        <v>25</v>
      </c>
      <c r="BF137" s="121" t="str">
        <f t="shared" si="90"/>
        <v>Production très élevée</v>
      </c>
      <c r="BG137" s="122" t="str">
        <f t="shared" si="91"/>
        <v>A</v>
      </c>
      <c r="BH137" s="145"/>
      <c r="BI137" s="7" t="s">
        <v>889</v>
      </c>
      <c r="BJ137" s="130">
        <v>1</v>
      </c>
      <c r="BK137" s="7" t="s">
        <v>889</v>
      </c>
      <c r="BL137" s="131">
        <v>1</v>
      </c>
      <c r="BM137" s="132" t="s">
        <v>131</v>
      </c>
      <c r="BN137"/>
      <c r="BO137" s="60" t="str">
        <f t="shared" si="75"/>
        <v>Catégorie 5A OUI</v>
      </c>
      <c r="BP137"/>
      <c r="BQ137" s="42" t="s">
        <v>1466</v>
      </c>
      <c r="BR137"/>
      <c r="BS137" s="187" t="str">
        <f t="shared" si="80"/>
        <v/>
      </c>
      <c r="BT137" s="19" t="str">
        <f t="shared" si="81"/>
        <v/>
      </c>
      <c r="BU137" s="19" t="str">
        <f t="shared" si="82"/>
        <v/>
      </c>
      <c r="BV137" s="10"/>
      <c r="BW137" s="5" t="str">
        <f t="shared" si="83"/>
        <v/>
      </c>
      <c r="BX137" s="5" t="str">
        <f t="shared" si="84"/>
        <v>X</v>
      </c>
      <c r="BY137"/>
      <c r="BZ137" s="5" t="str">
        <f t="shared" si="85"/>
        <v>X</v>
      </c>
      <c r="CA137" s="5" t="str">
        <f t="shared" si="86"/>
        <v>X</v>
      </c>
      <c r="CB137" s="188" t="str">
        <f t="shared" si="87"/>
        <v>X</v>
      </c>
    </row>
    <row r="138" spans="1:80" s="27" customFormat="1" ht="33.65" customHeight="1" x14ac:dyDescent="0.55000000000000004">
      <c r="A138" s="104">
        <v>1</v>
      </c>
      <c r="B138" s="142" t="s">
        <v>1591</v>
      </c>
      <c r="C138" s="142" t="s">
        <v>1592</v>
      </c>
      <c r="D138" s="142" t="s">
        <v>1593</v>
      </c>
      <c r="E138" s="142" t="s">
        <v>1594</v>
      </c>
      <c r="F138" s="142" t="s">
        <v>1595</v>
      </c>
      <c r="G138" s="142" t="s">
        <v>1596</v>
      </c>
      <c r="H138" s="142" t="s">
        <v>1597</v>
      </c>
      <c r="I138" s="142" t="s">
        <v>1598</v>
      </c>
      <c r="J138" s="153" t="s">
        <v>77</v>
      </c>
      <c r="K138" s="142" t="s">
        <v>1599</v>
      </c>
      <c r="L138" s="142" t="s">
        <v>85</v>
      </c>
      <c r="M138" s="142" t="s">
        <v>85</v>
      </c>
      <c r="N138" s="142"/>
      <c r="O138" s="142"/>
      <c r="P138" s="142" t="s">
        <v>85</v>
      </c>
      <c r="Q138" s="142" t="s">
        <v>85</v>
      </c>
      <c r="R138" s="142" t="s">
        <v>85</v>
      </c>
      <c r="S138" s="142" t="s">
        <v>88</v>
      </c>
      <c r="T138" s="142"/>
      <c r="U138" s="142" t="s">
        <v>1600</v>
      </c>
      <c r="V138" s="142" t="s">
        <v>173</v>
      </c>
      <c r="W138" s="142" t="s">
        <v>1601</v>
      </c>
      <c r="X138" s="142" t="s">
        <v>1602</v>
      </c>
      <c r="Y138" s="142" t="s">
        <v>1603</v>
      </c>
      <c r="Z138" s="142">
        <v>4.78</v>
      </c>
      <c r="AA138" s="104"/>
      <c r="AB138" s="143">
        <f>LOG(7880)</f>
        <v>3.8965262174895554</v>
      </c>
      <c r="AC138" s="142" t="s">
        <v>1604</v>
      </c>
      <c r="AD138" s="142" t="s">
        <v>1605</v>
      </c>
      <c r="AE138" s="1"/>
      <c r="AF138" s="30" cm="1">
        <f t="array" ref="AF138">_xlfn.IFS(COUNTIF(Table14623576[[#This Row],[PBT/ vPvB]],"*X*"), 20, TRUE, "")</f>
        <v>20</v>
      </c>
      <c r="AG138" s="30" t="str" cm="1">
        <f t="array" ref="AG138">_xlfn.IFS(COUNTIF(Table14623576[[#This Row],[Perturbateur Endocrinien]],"*X*"), 20, TRUE, "")</f>
        <v/>
      </c>
      <c r="AH138" s="30" t="str" cm="1">
        <f t="array" ref="AH138">_xlfn.IFS(COUNTIF(Table14623576[[#This Row],[Phrases H]],"*H350*"), 20, TRUE, "")</f>
        <v/>
      </c>
      <c r="AI138" s="30" t="str" cm="1">
        <f t="array" ref="AI138">_xlfn.IFS(COUNTIF(Table14623576[[#This Row],[Phrases H]],"*H360*"), 20, TRUE, "")</f>
        <v/>
      </c>
      <c r="AJ138" s="30" t="str" cm="1">
        <f t="array" ref="AJ138">_xlfn.IFS(COUNTIF(Table14623576[[#This Row],[Phrases H]],"*H340*"), 20, TRUE, "")</f>
        <v/>
      </c>
      <c r="AK138" s="30" cm="1">
        <f t="array" ref="AK138">_xlfn.IFS(COUNTIF(Table14623576[[#This Row],[Phrases H]],"*H351*"), 10, TRUE, "")</f>
        <v>10</v>
      </c>
      <c r="AL138" s="30" t="str" cm="1">
        <f t="array" ref="AL138">_xlfn.IFS(COUNTIF(Table14623576[[#This Row],[Phrases H]],"*H361*"), 10, TRUE, "")</f>
        <v/>
      </c>
      <c r="AM138" s="30" t="str" cm="1">
        <f t="array" ref="AM138">_xlfn.IFS(COUNTIF(Table14623576[[#This Row],[Phrases H]],"*H362*"), 10, TRUE, "")</f>
        <v/>
      </c>
      <c r="AN138" s="30" t="str" cm="1">
        <f t="array" ref="AN138">_xlfn.IFS(COUNTIF(Table14623576[[#This Row],[Phrases H]],"*H341*"), 10, TRUE, "")</f>
        <v/>
      </c>
      <c r="AO138" s="30" t="str" cm="1">
        <f t="array" ref="AO138">_xlfn.IFS(COUNTIF(Table14623576[[#This Row],[Phrases H]],"*H372*"), 10, TRUE, "")</f>
        <v/>
      </c>
      <c r="AP138" s="30" cm="1">
        <f t="array" ref="AP138">_xlfn.IFS(COUNTIF(Table14623576[[#This Row],[Phrases H]],"*H410*"), 10, TRUE, "")</f>
        <v>10</v>
      </c>
      <c r="AQ138" s="30" t="str" cm="1">
        <f t="array" ref="AQ138">_xlfn.IFS(COUNTIF(Table14623576[[#This Row],[Phrases H]],"*H373*"), 5, TRUE, "")</f>
        <v/>
      </c>
      <c r="AR138" s="30" t="str" cm="1">
        <f t="array" ref="AR138">_xlfn.IFS(COUNTIF(Table14623576[[#This Row],[Phrases H]],"*H411*"), 5, TRUE, "")</f>
        <v/>
      </c>
      <c r="AS138" s="112">
        <f t="shared" si="88"/>
        <v>40</v>
      </c>
      <c r="AT138" s="144">
        <v>3.8965262174895554</v>
      </c>
      <c r="AU138" s="144">
        <v>3.2</v>
      </c>
      <c r="AV138" s="114">
        <f t="shared" si="76"/>
        <v>20</v>
      </c>
      <c r="AW138" s="115" t="str">
        <f t="shared" si="74"/>
        <v>0</v>
      </c>
      <c r="AX138" s="116">
        <f t="shared" si="77"/>
        <v>40</v>
      </c>
      <c r="AY138" s="117">
        <f t="shared" si="78"/>
        <v>0.47058823529411764</v>
      </c>
      <c r="AZ138" s="118" t="str">
        <f t="shared" si="89"/>
        <v>3</v>
      </c>
      <c r="BA138" s="119" t="str">
        <f t="shared" si="79"/>
        <v>3</v>
      </c>
      <c r="BB138" s="145"/>
      <c r="BC138" s="144" t="s">
        <v>88</v>
      </c>
      <c r="BD138" s="113" t="s">
        <v>97</v>
      </c>
      <c r="BE138" s="120">
        <f t="shared" ref="BE138:BE169" si="92">IF(BC138="N/A",0,IF(BC138&lt;=10,5,IF(BC138&lt;=100,10,IF(BC138&lt;=1000,15,IF(BC138&lt;=10000,20,25)))))</f>
        <v>0</v>
      </c>
      <c r="BF138" s="121" t="str">
        <f t="shared" si="90"/>
        <v>N/A</v>
      </c>
      <c r="BG138" s="122" t="str">
        <f t="shared" si="91"/>
        <v>E</v>
      </c>
      <c r="BH138" s="145"/>
      <c r="BI138" s="7" t="s">
        <v>1606</v>
      </c>
      <c r="BJ138" s="130">
        <v>2</v>
      </c>
      <c r="BK138" s="7" t="s">
        <v>1606</v>
      </c>
      <c r="BL138" s="131">
        <v>2</v>
      </c>
      <c r="BM138" s="132" t="s">
        <v>131</v>
      </c>
      <c r="BN138"/>
      <c r="BO138" s="60" t="str">
        <f t="shared" si="75"/>
        <v>Catégorie 3E OUI</v>
      </c>
      <c r="BP138"/>
      <c r="BQ138" s="42" t="s">
        <v>164</v>
      </c>
      <c r="BR138"/>
      <c r="BS138" s="187" t="str">
        <f t="shared" si="80"/>
        <v>X</v>
      </c>
      <c r="BT138" s="19" t="str">
        <f t="shared" si="81"/>
        <v/>
      </c>
      <c r="BU138" s="19" t="str">
        <f t="shared" si="82"/>
        <v/>
      </c>
      <c r="BV138" s="10"/>
      <c r="BW138" s="5" t="str">
        <f t="shared" si="83"/>
        <v>X</v>
      </c>
      <c r="BX138" s="5" t="str">
        <f t="shared" si="84"/>
        <v>X</v>
      </c>
      <c r="BY138"/>
      <c r="BZ138" s="5" t="str">
        <f t="shared" si="85"/>
        <v>X</v>
      </c>
      <c r="CA138" s="5" t="str">
        <f t="shared" si="86"/>
        <v>X</v>
      </c>
      <c r="CB138" s="188" t="str">
        <f t="shared" si="87"/>
        <v>X</v>
      </c>
    </row>
    <row r="139" spans="1:80" s="27" customFormat="1" ht="30" customHeight="1" x14ac:dyDescent="0.55000000000000004">
      <c r="A139" s="154">
        <v>1</v>
      </c>
      <c r="B139" s="104" t="s">
        <v>1607</v>
      </c>
      <c r="C139" s="154" t="s">
        <v>1608</v>
      </c>
      <c r="D139" s="154" t="s">
        <v>1609</v>
      </c>
      <c r="E139" s="154" t="s">
        <v>1610</v>
      </c>
      <c r="F139" s="154" t="s">
        <v>1611</v>
      </c>
      <c r="G139" s="154" t="s">
        <v>1612</v>
      </c>
      <c r="H139" s="154" t="s">
        <v>1613</v>
      </c>
      <c r="I139" s="104"/>
      <c r="J139" s="104"/>
      <c r="K139" s="142" t="s">
        <v>1614</v>
      </c>
      <c r="L139" s="142"/>
      <c r="M139" s="142" t="s">
        <v>85</v>
      </c>
      <c r="N139" s="142"/>
      <c r="O139" s="142" t="s">
        <v>85</v>
      </c>
      <c r="P139" s="142" t="s">
        <v>85</v>
      </c>
      <c r="Q139" s="142" t="s">
        <v>85</v>
      </c>
      <c r="R139" s="142"/>
      <c r="S139" s="142" t="s">
        <v>1615</v>
      </c>
      <c r="T139" s="142" t="s">
        <v>85</v>
      </c>
      <c r="U139" s="142" t="s">
        <v>1616</v>
      </c>
      <c r="V139" s="142" t="s">
        <v>173</v>
      </c>
      <c r="W139" s="142" t="s">
        <v>1617</v>
      </c>
      <c r="X139" s="104">
        <v>0</v>
      </c>
      <c r="Y139" s="104" t="s">
        <v>1618</v>
      </c>
      <c r="Z139" s="104" t="s">
        <v>1619</v>
      </c>
      <c r="AA139" s="104"/>
      <c r="AB139" s="104" t="s">
        <v>1620</v>
      </c>
      <c r="AC139" s="104" t="s">
        <v>1621</v>
      </c>
      <c r="AD139" s="104" t="s">
        <v>1622</v>
      </c>
      <c r="AE139" s="1"/>
      <c r="AF139" s="30" t="str" cm="1">
        <f t="array" ref="AF139">_xlfn.IFS(COUNTIF(Table14623576[[#This Row],[PBT/ vPvB]],"*X*"), 20, TRUE, "")</f>
        <v/>
      </c>
      <c r="AG139" s="30" cm="1">
        <f t="array" ref="AG139">_xlfn.IFS(COUNTIF(Table14623576[[#This Row],[Perturbateur Endocrinien]],"*X*"), 20, TRUE, "")</f>
        <v>20</v>
      </c>
      <c r="AH139" s="30" t="str" cm="1">
        <f t="array" ref="AH139">_xlfn.IFS(COUNTIF(Table14623576[[#This Row],[Phrases H]],"*H350*"), 20, TRUE, "")</f>
        <v/>
      </c>
      <c r="AI139" s="30" cm="1">
        <f t="array" ref="AI139">_xlfn.IFS(COUNTIF(Table14623576[[#This Row],[Phrases H]],"*H360*"), 20, TRUE, "")</f>
        <v>20</v>
      </c>
      <c r="AJ139" s="30" t="str" cm="1">
        <f t="array" ref="AJ139">_xlfn.IFS(COUNTIF(Table14623576[[#This Row],[Phrases H]],"*H340*"), 20, TRUE, "")</f>
        <v/>
      </c>
      <c r="AK139" s="30" t="str" cm="1">
        <f t="array" ref="AK139">_xlfn.IFS(COUNTIF(Table14623576[[#This Row],[Phrases H]],"*H351*"), 10, TRUE, "")</f>
        <v/>
      </c>
      <c r="AL139" s="30" t="str" cm="1">
        <f t="array" ref="AL139">_xlfn.IFS(COUNTIF(Table14623576[[#This Row],[Phrases H]],"*H361*"), 10, TRUE, "")</f>
        <v/>
      </c>
      <c r="AM139" s="30" t="str" cm="1">
        <f t="array" ref="AM139">_xlfn.IFS(COUNTIF(Table14623576[[#This Row],[Phrases H]],"*H362*"), 10, TRUE, "")</f>
        <v/>
      </c>
      <c r="AN139" s="30" t="str" cm="1">
        <f t="array" ref="AN139">_xlfn.IFS(COUNTIF(Table14623576[[#This Row],[Phrases H]],"*H341*"), 10, TRUE, "")</f>
        <v/>
      </c>
      <c r="AO139" s="30" t="str" cm="1">
        <f t="array" ref="AO139">_xlfn.IFS(COUNTIF(Table14623576[[#This Row],[Phrases H]],"*H372*"), 10, TRUE, "")</f>
        <v/>
      </c>
      <c r="AP139" s="30" t="str" cm="1">
        <f t="array" ref="AP139">_xlfn.IFS(COUNTIF(Table14623576[[#This Row],[Phrases H]],"*H410*"), 10, TRUE, "")</f>
        <v/>
      </c>
      <c r="AQ139" s="30" t="str" cm="1">
        <f t="array" ref="AQ139">_xlfn.IFS(COUNTIF(Table14623576[[#This Row],[Phrases H]],"*H373*"), 5, TRUE, "")</f>
        <v/>
      </c>
      <c r="AR139" s="30" t="str" cm="1">
        <f t="array" ref="AR139">_xlfn.IFS(COUNTIF(Table14623576[[#This Row],[Phrases H]],"*H411*"), 5, TRUE, "")</f>
        <v/>
      </c>
      <c r="AS139" s="112">
        <f t="shared" si="88"/>
        <v>40</v>
      </c>
      <c r="AT139" s="144" t="s">
        <v>1620</v>
      </c>
      <c r="AU139" s="144" t="s">
        <v>1617</v>
      </c>
      <c r="AV139" s="114">
        <f t="shared" si="76"/>
        <v>50</v>
      </c>
      <c r="AW139" s="115" t="str">
        <f t="shared" si="74"/>
        <v>0</v>
      </c>
      <c r="AX139" s="116">
        <f t="shared" si="77"/>
        <v>40</v>
      </c>
      <c r="AY139" s="117">
        <f t="shared" si="78"/>
        <v>0.47058823529411764</v>
      </c>
      <c r="AZ139" s="118" t="str">
        <f t="shared" si="89"/>
        <v>3</v>
      </c>
      <c r="BA139" s="119" t="str">
        <f t="shared" si="79"/>
        <v>3</v>
      </c>
      <c r="BB139" s="145"/>
      <c r="BC139" s="144">
        <v>100000</v>
      </c>
      <c r="BD139" s="113" t="s">
        <v>97</v>
      </c>
      <c r="BE139" s="120">
        <f t="shared" si="92"/>
        <v>25</v>
      </c>
      <c r="BF139" s="121" t="str">
        <f t="shared" si="90"/>
        <v>Production très élevée</v>
      </c>
      <c r="BG139" s="122" t="str">
        <f t="shared" si="91"/>
        <v>A</v>
      </c>
      <c r="BH139" s="145"/>
      <c r="BI139" s="7" t="s">
        <v>1623</v>
      </c>
      <c r="BJ139" s="130">
        <v>2</v>
      </c>
      <c r="BK139" s="7" t="s">
        <v>1623</v>
      </c>
      <c r="BL139" s="131">
        <v>2</v>
      </c>
      <c r="BM139" s="132" t="s">
        <v>131</v>
      </c>
      <c r="BN139"/>
      <c r="BO139" s="60" t="str">
        <f t="shared" si="75"/>
        <v>Catégorie 3A OUI</v>
      </c>
      <c r="BP139"/>
      <c r="BQ139" s="42" t="s">
        <v>1466</v>
      </c>
      <c r="BR139"/>
      <c r="BS139" s="187" t="str">
        <f t="shared" si="80"/>
        <v>X</v>
      </c>
      <c r="BT139" s="19" t="str">
        <f t="shared" si="81"/>
        <v/>
      </c>
      <c r="BU139" s="19" t="str">
        <f t="shared" si="82"/>
        <v/>
      </c>
      <c r="BV139" s="10"/>
      <c r="BW139" s="5" t="str">
        <f t="shared" si="83"/>
        <v/>
      </c>
      <c r="BX139" s="5" t="str">
        <f t="shared" si="84"/>
        <v>X</v>
      </c>
      <c r="BY139"/>
      <c r="BZ139" s="5" t="str">
        <f t="shared" si="85"/>
        <v>X</v>
      </c>
      <c r="CA139" s="5" t="str">
        <f t="shared" si="86"/>
        <v>X</v>
      </c>
      <c r="CB139" s="188" t="str">
        <f t="shared" si="87"/>
        <v>X</v>
      </c>
    </row>
    <row r="140" spans="1:80" s="27" customFormat="1" ht="30" customHeight="1" x14ac:dyDescent="0.55000000000000004">
      <c r="A140" s="154">
        <v>2</v>
      </c>
      <c r="B140" s="104" t="s">
        <v>1607</v>
      </c>
      <c r="C140" s="154" t="s">
        <v>1624</v>
      </c>
      <c r="D140" s="154" t="s">
        <v>1625</v>
      </c>
      <c r="E140" s="154" t="s">
        <v>1626</v>
      </c>
      <c r="F140" s="154" t="s">
        <v>1627</v>
      </c>
      <c r="G140" s="154" t="s">
        <v>1628</v>
      </c>
      <c r="H140" s="154" t="s">
        <v>1629</v>
      </c>
      <c r="I140" s="104"/>
      <c r="J140" s="104"/>
      <c r="K140" s="142" t="s">
        <v>186</v>
      </c>
      <c r="L140" s="142"/>
      <c r="M140" s="142"/>
      <c r="N140" s="142" t="s">
        <v>85</v>
      </c>
      <c r="O140" s="142" t="s">
        <v>85</v>
      </c>
      <c r="P140" s="142" t="s">
        <v>85</v>
      </c>
      <c r="Q140" s="142"/>
      <c r="R140" s="142"/>
      <c r="S140" s="142" t="s">
        <v>1615</v>
      </c>
      <c r="T140" s="142" t="s">
        <v>85</v>
      </c>
      <c r="U140" s="142" t="s">
        <v>1630</v>
      </c>
      <c r="V140" s="142" t="s">
        <v>173</v>
      </c>
      <c r="W140" s="147" t="s">
        <v>1631</v>
      </c>
      <c r="X140" s="104" t="s">
        <v>1632</v>
      </c>
      <c r="Y140" s="104" t="s">
        <v>1633</v>
      </c>
      <c r="Z140" s="104" t="s">
        <v>1634</v>
      </c>
      <c r="AA140" s="104"/>
      <c r="AB140" s="104" t="s">
        <v>1635</v>
      </c>
      <c r="AC140" s="104" t="s">
        <v>1636</v>
      </c>
      <c r="AD140" s="104" t="s">
        <v>1637</v>
      </c>
      <c r="AE140" s="1"/>
      <c r="AF140" s="30" t="str" cm="1">
        <f t="array" ref="AF140">_xlfn.IFS(COUNTIF(Table14623576[[#This Row],[PBT/ vPvB]],"*X*"), 20, TRUE, "")</f>
        <v/>
      </c>
      <c r="AG140" s="30" cm="1">
        <f t="array" ref="AG140">_xlfn.IFS(COUNTIF(Table14623576[[#This Row],[Perturbateur Endocrinien]],"*X*"), 20, TRUE, "")</f>
        <v>20</v>
      </c>
      <c r="AH140" s="30" t="str" cm="1">
        <f t="array" ref="AH140">_xlfn.IFS(COUNTIF(Table14623576[[#This Row],[Phrases H]],"*H350*"), 20, TRUE, "")</f>
        <v/>
      </c>
      <c r="AI140" s="30" cm="1">
        <f t="array" ref="AI140">_xlfn.IFS(COUNTIF(Table14623576[[#This Row],[Phrases H]],"*H360*"), 20, TRUE, "")</f>
        <v>20</v>
      </c>
      <c r="AJ140" s="30" t="str" cm="1">
        <f t="array" ref="AJ140">_xlfn.IFS(COUNTIF(Table14623576[[#This Row],[Phrases H]],"*H340*"), 20, TRUE, "")</f>
        <v/>
      </c>
      <c r="AK140" s="30" t="str" cm="1">
        <f t="array" ref="AK140">_xlfn.IFS(COUNTIF(Table14623576[[#This Row],[Phrases H]],"*H351*"), 10, TRUE, "")</f>
        <v/>
      </c>
      <c r="AL140" s="30" t="str" cm="1">
        <f t="array" ref="AL140">_xlfn.IFS(COUNTIF(Table14623576[[#This Row],[Phrases H]],"*H361*"), 10, TRUE, "")</f>
        <v/>
      </c>
      <c r="AM140" s="30" t="str" cm="1">
        <f t="array" ref="AM140">_xlfn.IFS(COUNTIF(Table14623576[[#This Row],[Phrases H]],"*H362*"), 10, TRUE, "")</f>
        <v/>
      </c>
      <c r="AN140" s="30" t="str" cm="1">
        <f t="array" ref="AN140">_xlfn.IFS(COUNTIF(Table14623576[[#This Row],[Phrases H]],"*H341*"), 10, TRUE, "")</f>
        <v/>
      </c>
      <c r="AO140" s="30" t="str" cm="1">
        <f t="array" ref="AO140">_xlfn.IFS(COUNTIF(Table14623576[[#This Row],[Phrases H]],"*H372*"), 10, TRUE, "")</f>
        <v/>
      </c>
      <c r="AP140" s="30" cm="1">
        <f t="array" ref="AP140">_xlfn.IFS(COUNTIF(Table14623576[[#This Row],[Phrases H]],"*H410*"), 10, TRUE, "")</f>
        <v>10</v>
      </c>
      <c r="AQ140" s="30" t="str" cm="1">
        <f t="array" ref="AQ140">_xlfn.IFS(COUNTIF(Table14623576[[#This Row],[Phrases H]],"*H373*"), 5, TRUE, "")</f>
        <v/>
      </c>
      <c r="AR140" s="30" t="str" cm="1">
        <f t="array" ref="AR140">_xlfn.IFS(COUNTIF(Table14623576[[#This Row],[Phrases H]],"*H411*"), 5, TRUE, "")</f>
        <v/>
      </c>
      <c r="AS140" s="112">
        <f t="shared" si="88"/>
        <v>50</v>
      </c>
      <c r="AT140" s="144" t="s">
        <v>1635</v>
      </c>
      <c r="AU140" s="144" t="s">
        <v>1631</v>
      </c>
      <c r="AV140" s="114">
        <f t="shared" si="76"/>
        <v>50</v>
      </c>
      <c r="AW140" s="115" t="str">
        <f t="shared" si="74"/>
        <v>0</v>
      </c>
      <c r="AX140" s="116">
        <f t="shared" si="77"/>
        <v>50</v>
      </c>
      <c r="AY140" s="117">
        <f t="shared" si="78"/>
        <v>0.58823529411764708</v>
      </c>
      <c r="AZ140" s="118" t="str">
        <f t="shared" si="89"/>
        <v>3</v>
      </c>
      <c r="BA140" s="119" t="str">
        <f t="shared" si="79"/>
        <v>3</v>
      </c>
      <c r="BB140" s="145"/>
      <c r="BC140" s="144">
        <v>10</v>
      </c>
      <c r="BD140" s="113" t="s">
        <v>97</v>
      </c>
      <c r="BE140" s="120">
        <f t="shared" si="92"/>
        <v>5</v>
      </c>
      <c r="BF140" s="121" t="str">
        <f t="shared" si="90"/>
        <v>Très faible production</v>
      </c>
      <c r="BG140" s="122" t="str">
        <f t="shared" si="91"/>
        <v>E</v>
      </c>
      <c r="BH140" s="145"/>
      <c r="BI140" s="7" t="s">
        <v>1623</v>
      </c>
      <c r="BJ140" s="130">
        <v>2</v>
      </c>
      <c r="BK140" s="7" t="s">
        <v>1623</v>
      </c>
      <c r="BL140" s="131">
        <v>2</v>
      </c>
      <c r="BM140" s="132" t="s">
        <v>131</v>
      </c>
      <c r="BN140"/>
      <c r="BO140" s="60" t="str">
        <f t="shared" si="75"/>
        <v>Catégorie 3E OUI</v>
      </c>
      <c r="BP140"/>
      <c r="BQ140" s="42" t="s">
        <v>1466</v>
      </c>
      <c r="BR140"/>
      <c r="BS140" s="187" t="str">
        <f t="shared" si="80"/>
        <v>X</v>
      </c>
      <c r="BT140" s="19" t="str">
        <f t="shared" si="81"/>
        <v>X</v>
      </c>
      <c r="BU140" s="19" t="str">
        <f t="shared" si="82"/>
        <v/>
      </c>
      <c r="BV140" s="10"/>
      <c r="BW140" s="5" t="str">
        <f t="shared" si="83"/>
        <v>X</v>
      </c>
      <c r="BX140" s="5" t="str">
        <f t="shared" si="84"/>
        <v>X</v>
      </c>
      <c r="BY140"/>
      <c r="BZ140" s="5" t="str">
        <f t="shared" si="85"/>
        <v>X</v>
      </c>
      <c r="CA140" s="5" t="str">
        <f t="shared" si="86"/>
        <v>X</v>
      </c>
      <c r="CB140" s="188" t="str">
        <f t="shared" si="87"/>
        <v>X</v>
      </c>
    </row>
    <row r="141" spans="1:80" s="27" customFormat="1" ht="30" customHeight="1" x14ac:dyDescent="0.55000000000000004">
      <c r="A141" s="154">
        <v>3</v>
      </c>
      <c r="B141" s="104" t="s">
        <v>1607</v>
      </c>
      <c r="C141" s="154" t="s">
        <v>1638</v>
      </c>
      <c r="D141" s="154" t="s">
        <v>1639</v>
      </c>
      <c r="E141" s="154" t="s">
        <v>1640</v>
      </c>
      <c r="F141" s="154" t="s">
        <v>1641</v>
      </c>
      <c r="G141" s="154" t="s">
        <v>1642</v>
      </c>
      <c r="H141" s="154" t="s">
        <v>1643</v>
      </c>
      <c r="I141" s="104"/>
      <c r="J141" s="104"/>
      <c r="K141" s="142" t="s">
        <v>1644</v>
      </c>
      <c r="L141" s="142"/>
      <c r="M141" s="142"/>
      <c r="N141" s="142" t="s">
        <v>85</v>
      </c>
      <c r="O141" s="142" t="s">
        <v>85</v>
      </c>
      <c r="P141" s="142" t="s">
        <v>85</v>
      </c>
      <c r="Q141" s="142"/>
      <c r="R141" s="142" t="s">
        <v>85</v>
      </c>
      <c r="S141" s="142" t="s">
        <v>1615</v>
      </c>
      <c r="T141" s="142" t="s">
        <v>85</v>
      </c>
      <c r="U141" s="142" t="s">
        <v>1645</v>
      </c>
      <c r="V141" s="142" t="s">
        <v>122</v>
      </c>
      <c r="W141" s="142" t="s">
        <v>1646</v>
      </c>
      <c r="X141" s="104" t="s">
        <v>1647</v>
      </c>
      <c r="Y141" s="104" t="s">
        <v>1648</v>
      </c>
      <c r="Z141" s="104" t="s">
        <v>1649</v>
      </c>
      <c r="AA141" s="104"/>
      <c r="AB141" s="104" t="s">
        <v>1650</v>
      </c>
      <c r="AC141" s="104" t="s">
        <v>1651</v>
      </c>
      <c r="AD141" s="104" t="s">
        <v>1652</v>
      </c>
      <c r="AE141" s="1"/>
      <c r="AF141" s="30" cm="1">
        <f t="array" ref="AF141">_xlfn.IFS(COUNTIF(Table14623576[[#This Row],[PBT/ vPvB]],"*X*"), 20, TRUE, "")</f>
        <v>20</v>
      </c>
      <c r="AG141" s="30" cm="1">
        <f t="array" ref="AG141">_xlfn.IFS(COUNTIF(Table14623576[[#This Row],[Perturbateur Endocrinien]],"*X*"), 20, TRUE, "")</f>
        <v>20</v>
      </c>
      <c r="AH141" s="30" t="str" cm="1">
        <f t="array" ref="AH141">_xlfn.IFS(COUNTIF(Table14623576[[#This Row],[Phrases H]],"*H350*"), 20, TRUE, "")</f>
        <v/>
      </c>
      <c r="AI141" s="30" cm="1">
        <f t="array" ref="AI141">_xlfn.IFS(COUNTIF(Table14623576[[#This Row],[Phrases H]],"*H360*"), 20, TRUE, "")</f>
        <v>20</v>
      </c>
      <c r="AJ141" s="30" t="str" cm="1">
        <f t="array" ref="AJ141">_xlfn.IFS(COUNTIF(Table14623576[[#This Row],[Phrases H]],"*H340*"), 20, TRUE, "")</f>
        <v/>
      </c>
      <c r="AK141" s="30" t="str" cm="1">
        <f t="array" ref="AK141">_xlfn.IFS(COUNTIF(Table14623576[[#This Row],[Phrases H]],"*H351*"), 10, TRUE, "")</f>
        <v/>
      </c>
      <c r="AL141" s="30" t="str" cm="1">
        <f t="array" ref="AL141">_xlfn.IFS(COUNTIF(Table14623576[[#This Row],[Phrases H]],"*H361*"), 10, TRUE, "")</f>
        <v/>
      </c>
      <c r="AM141" s="30" t="str" cm="1">
        <f t="array" ref="AM141">_xlfn.IFS(COUNTIF(Table14623576[[#This Row],[Phrases H]],"*H362*"), 10, TRUE, "")</f>
        <v/>
      </c>
      <c r="AN141" s="30" t="str" cm="1">
        <f t="array" ref="AN141">_xlfn.IFS(COUNTIF(Table14623576[[#This Row],[Phrases H]],"*H341*"), 10, TRUE, "")</f>
        <v/>
      </c>
      <c r="AO141" s="30" t="str" cm="1">
        <f t="array" ref="AO141">_xlfn.IFS(COUNTIF(Table14623576[[#This Row],[Phrases H]],"*H372*"), 10, TRUE, "")</f>
        <v/>
      </c>
      <c r="AP141" s="30" t="str" cm="1">
        <f t="array" ref="AP141">_xlfn.IFS(COUNTIF(Table14623576[[#This Row],[Phrases H]],"*H410*"), 10, TRUE, "")</f>
        <v/>
      </c>
      <c r="AQ141" s="30" t="str" cm="1">
        <f t="array" ref="AQ141">_xlfn.IFS(COUNTIF(Table14623576[[#This Row],[Phrases H]],"*H373*"), 5, TRUE, "")</f>
        <v/>
      </c>
      <c r="AR141" s="30" t="str" cm="1">
        <f t="array" ref="AR141">_xlfn.IFS(COUNTIF(Table14623576[[#This Row],[Phrases H]],"*H411*"), 5, TRUE, "")</f>
        <v/>
      </c>
      <c r="AS141" s="112">
        <f t="shared" si="88"/>
        <v>60</v>
      </c>
      <c r="AT141" s="144" t="s">
        <v>1650</v>
      </c>
      <c r="AU141" s="144" t="s">
        <v>1646</v>
      </c>
      <c r="AV141" s="114">
        <f t="shared" si="76"/>
        <v>50</v>
      </c>
      <c r="AW141" s="115" t="str">
        <f t="shared" si="74"/>
        <v>0</v>
      </c>
      <c r="AX141" s="116">
        <f t="shared" si="77"/>
        <v>60</v>
      </c>
      <c r="AY141" s="117">
        <f t="shared" si="78"/>
        <v>0.70588235294117652</v>
      </c>
      <c r="AZ141" s="118" t="str">
        <f t="shared" si="89"/>
        <v>2</v>
      </c>
      <c r="BA141" s="119" t="str">
        <f t="shared" si="79"/>
        <v>2</v>
      </c>
      <c r="BB141" s="145"/>
      <c r="BC141" s="144">
        <v>1000</v>
      </c>
      <c r="BD141" s="113" t="s">
        <v>97</v>
      </c>
      <c r="BE141" s="120">
        <f t="shared" si="92"/>
        <v>15</v>
      </c>
      <c r="BF141" s="121" t="str">
        <f t="shared" si="90"/>
        <v>Production modérée</v>
      </c>
      <c r="BG141" s="122" t="str">
        <f t="shared" si="91"/>
        <v>C</v>
      </c>
      <c r="BH141" s="145"/>
      <c r="BI141" s="7" t="s">
        <v>1623</v>
      </c>
      <c r="BJ141" s="133">
        <v>2</v>
      </c>
      <c r="BK141" s="7" t="s">
        <v>1623</v>
      </c>
      <c r="BL141" s="131">
        <v>2</v>
      </c>
      <c r="BM141" s="119" t="s">
        <v>131</v>
      </c>
      <c r="BN141"/>
      <c r="BO141" s="60" t="str">
        <f t="shared" ref="BO141" si="93">_xlfn.CONCAT("Catégorie ", BA141,BG141,BM141)</f>
        <v>Catégorie 2COUI</v>
      </c>
      <c r="BP141"/>
      <c r="BQ141" s="42" t="s">
        <v>1466</v>
      </c>
      <c r="BR141"/>
      <c r="BS141" s="187" t="str">
        <f t="shared" si="80"/>
        <v>X</v>
      </c>
      <c r="BT141" s="19" t="str">
        <f t="shared" si="81"/>
        <v>X</v>
      </c>
      <c r="BU141" s="19" t="str">
        <f t="shared" si="82"/>
        <v>X</v>
      </c>
      <c r="BV141" s="10"/>
      <c r="BW141" s="5" t="str">
        <f t="shared" si="83"/>
        <v/>
      </c>
      <c r="BX141" s="5" t="str">
        <f t="shared" si="84"/>
        <v>X</v>
      </c>
      <c r="BY141"/>
      <c r="BZ141" s="5" t="str">
        <f t="shared" si="85"/>
        <v>X</v>
      </c>
      <c r="CA141" s="5" t="str">
        <f t="shared" si="86"/>
        <v>X</v>
      </c>
      <c r="CB141" s="188" t="str">
        <f t="shared" si="87"/>
        <v>X</v>
      </c>
    </row>
    <row r="142" spans="1:80" s="27" customFormat="1" ht="30" customHeight="1" x14ac:dyDescent="0.55000000000000004">
      <c r="A142" s="154">
        <v>4</v>
      </c>
      <c r="B142" s="104" t="s">
        <v>1607</v>
      </c>
      <c r="C142" s="154" t="s">
        <v>1653</v>
      </c>
      <c r="D142" s="154" t="s">
        <v>1654</v>
      </c>
      <c r="E142" s="154" t="s">
        <v>1655</v>
      </c>
      <c r="F142" s="154" t="s">
        <v>1656</v>
      </c>
      <c r="G142" s="154" t="s">
        <v>1642</v>
      </c>
      <c r="H142" s="141" t="s">
        <v>1657</v>
      </c>
      <c r="I142" s="104"/>
      <c r="J142" s="104"/>
      <c r="K142" s="142" t="s">
        <v>751</v>
      </c>
      <c r="L142" s="142"/>
      <c r="M142" s="142"/>
      <c r="N142" s="142"/>
      <c r="O142" s="142" t="s">
        <v>85</v>
      </c>
      <c r="P142" s="142" t="s">
        <v>85</v>
      </c>
      <c r="Q142" s="142"/>
      <c r="R142" s="142"/>
      <c r="S142" s="142" t="s">
        <v>1615</v>
      </c>
      <c r="T142" s="142" t="s">
        <v>85</v>
      </c>
      <c r="U142" s="142" t="s">
        <v>56</v>
      </c>
      <c r="V142" s="142" t="s">
        <v>88</v>
      </c>
      <c r="W142" s="147" t="s">
        <v>1658</v>
      </c>
      <c r="X142" s="104" t="s">
        <v>1659</v>
      </c>
      <c r="Y142" s="104" t="s">
        <v>1660</v>
      </c>
      <c r="Z142" s="104" t="s">
        <v>1661</v>
      </c>
      <c r="AA142" s="104"/>
      <c r="AB142" s="104" t="s">
        <v>1662</v>
      </c>
      <c r="AC142" s="104" t="s">
        <v>1663</v>
      </c>
      <c r="AD142" s="104" t="s">
        <v>1664</v>
      </c>
      <c r="AE142" s="1"/>
      <c r="AF142" s="30" t="str" cm="1">
        <f t="array" ref="AF142">_xlfn.IFS(COUNTIF(Table14623576[[#This Row],[PBT/ vPvB]],"*X*"), 20, TRUE, "")</f>
        <v/>
      </c>
      <c r="AG142" s="30" cm="1">
        <f t="array" ref="AG142">_xlfn.IFS(COUNTIF(Table14623576[[#This Row],[Perturbateur Endocrinien]],"*X*"), 20, TRUE, "")</f>
        <v>20</v>
      </c>
      <c r="AH142" s="30" t="str" cm="1">
        <f t="array" ref="AH142">_xlfn.IFS(COUNTIF(Table14623576[[#This Row],[Phrases H]],"*H350*"), 20, TRUE, "")</f>
        <v/>
      </c>
      <c r="AI142" s="30" cm="1">
        <f t="array" ref="AI142">_xlfn.IFS(COUNTIF(Table14623576[[#This Row],[Phrases H]],"*H360*"), 20, TRUE, "")</f>
        <v>20</v>
      </c>
      <c r="AJ142" s="30" t="str" cm="1">
        <f t="array" ref="AJ142">_xlfn.IFS(COUNTIF(Table14623576[[#This Row],[Phrases H]],"*H340*"), 20, TRUE, "")</f>
        <v/>
      </c>
      <c r="AK142" s="30" t="str" cm="1">
        <f t="array" ref="AK142">_xlfn.IFS(COUNTIF(Table14623576[[#This Row],[Phrases H]],"*H351*"), 10, TRUE, "")</f>
        <v/>
      </c>
      <c r="AL142" s="30" t="str" cm="1">
        <f t="array" ref="AL142">_xlfn.IFS(COUNTIF(Table14623576[[#This Row],[Phrases H]],"*H361*"), 10, TRUE, "")</f>
        <v/>
      </c>
      <c r="AM142" s="30" t="str" cm="1">
        <f t="array" ref="AM142">_xlfn.IFS(COUNTIF(Table14623576[[#This Row],[Phrases H]],"*H362*"), 10, TRUE, "")</f>
        <v/>
      </c>
      <c r="AN142" s="30" t="str" cm="1">
        <f t="array" ref="AN142">_xlfn.IFS(COUNTIF(Table14623576[[#This Row],[Phrases H]],"*H341*"), 10, TRUE, "")</f>
        <v/>
      </c>
      <c r="AO142" s="30" t="str" cm="1">
        <f t="array" ref="AO142">_xlfn.IFS(COUNTIF(Table14623576[[#This Row],[Phrases H]],"*H372*"), 10, TRUE, "")</f>
        <v/>
      </c>
      <c r="AP142" s="30" t="str" cm="1">
        <f t="array" ref="AP142">_xlfn.IFS(COUNTIF(Table14623576[[#This Row],[Phrases H]],"*H410*"), 10, TRUE, "")</f>
        <v/>
      </c>
      <c r="AQ142" s="30" t="str" cm="1">
        <f t="array" ref="AQ142">_xlfn.IFS(COUNTIF(Table14623576[[#This Row],[Phrases H]],"*H373*"), 5, TRUE, "")</f>
        <v/>
      </c>
      <c r="AR142" s="30" t="str" cm="1">
        <f t="array" ref="AR142">_xlfn.IFS(COUNTIF(Table14623576[[#This Row],[Phrases H]],"*H411*"), 5, TRUE, "")</f>
        <v/>
      </c>
      <c r="AS142" s="112">
        <f t="shared" si="88"/>
        <v>40</v>
      </c>
      <c r="AT142" s="144" t="s">
        <v>1662</v>
      </c>
      <c r="AU142" s="144" t="s">
        <v>1658</v>
      </c>
      <c r="AV142" s="114">
        <f t="shared" si="76"/>
        <v>50</v>
      </c>
      <c r="AW142" s="115" t="str">
        <f t="shared" si="74"/>
        <v>0</v>
      </c>
      <c r="AX142" s="116">
        <f t="shared" si="77"/>
        <v>40</v>
      </c>
      <c r="AY142" s="117">
        <f t="shared" si="78"/>
        <v>0.47058823529411764</v>
      </c>
      <c r="AZ142" s="118" t="str">
        <f t="shared" si="89"/>
        <v>3</v>
      </c>
      <c r="BA142" s="119" t="str">
        <f t="shared" si="79"/>
        <v>3</v>
      </c>
      <c r="BB142" s="145"/>
      <c r="BC142" s="144">
        <v>1</v>
      </c>
      <c r="BD142" s="113" t="s">
        <v>97</v>
      </c>
      <c r="BE142" s="120">
        <f t="shared" si="92"/>
        <v>5</v>
      </c>
      <c r="BF142" s="121" t="str">
        <f t="shared" si="90"/>
        <v>Très faible production</v>
      </c>
      <c r="BG142" s="122" t="str">
        <f t="shared" si="91"/>
        <v>E</v>
      </c>
      <c r="BH142" s="145"/>
      <c r="BI142" s="7" t="s">
        <v>231</v>
      </c>
      <c r="BJ142" s="130">
        <v>2</v>
      </c>
      <c r="BK142" s="7" t="s">
        <v>231</v>
      </c>
      <c r="BL142" s="131">
        <v>1</v>
      </c>
      <c r="BM142" s="132" t="s">
        <v>131</v>
      </c>
      <c r="BN142"/>
      <c r="BO142" s="60" t="str">
        <f t="shared" ref="BO142:BO180" si="94">_xlfn.CONCAT("Catégorie ", BA142,BG142," ",BM142)</f>
        <v>Catégorie 3E OUI</v>
      </c>
      <c r="BP142"/>
      <c r="BQ142" s="42" t="s">
        <v>1466</v>
      </c>
      <c r="BR142"/>
      <c r="BS142" s="187" t="str">
        <f t="shared" si="80"/>
        <v>X</v>
      </c>
      <c r="BT142" s="19" t="str">
        <f t="shared" si="81"/>
        <v/>
      </c>
      <c r="BU142" s="19" t="str">
        <f t="shared" si="82"/>
        <v/>
      </c>
      <c r="BV142" s="10"/>
      <c r="BW142" s="5" t="str">
        <f t="shared" si="83"/>
        <v>X</v>
      </c>
      <c r="BX142" s="5" t="str">
        <f t="shared" si="84"/>
        <v>X</v>
      </c>
      <c r="BY142"/>
      <c r="BZ142" s="5" t="str">
        <f t="shared" si="85"/>
        <v>X</v>
      </c>
      <c r="CA142" s="5" t="str">
        <f t="shared" si="86"/>
        <v>X</v>
      </c>
      <c r="CB142" s="188" t="str">
        <f t="shared" si="87"/>
        <v>X</v>
      </c>
    </row>
    <row r="143" spans="1:80" s="27" customFormat="1" ht="30" customHeight="1" x14ac:dyDescent="0.55000000000000004">
      <c r="A143" s="154">
        <v>5</v>
      </c>
      <c r="B143" s="104" t="s">
        <v>1607</v>
      </c>
      <c r="C143" s="154" t="s">
        <v>1665</v>
      </c>
      <c r="D143" s="154" t="s">
        <v>1666</v>
      </c>
      <c r="E143" s="154" t="s">
        <v>1667</v>
      </c>
      <c r="F143" s="154" t="s">
        <v>1668</v>
      </c>
      <c r="G143" s="154" t="s">
        <v>1669</v>
      </c>
      <c r="H143" s="154" t="s">
        <v>1670</v>
      </c>
      <c r="I143" s="104"/>
      <c r="J143" s="104"/>
      <c r="K143" s="142" t="s">
        <v>1644</v>
      </c>
      <c r="L143" s="142"/>
      <c r="M143" s="142"/>
      <c r="N143" s="142" t="s">
        <v>85</v>
      </c>
      <c r="O143" s="142"/>
      <c r="P143" s="142" t="s">
        <v>85</v>
      </c>
      <c r="Q143" s="142"/>
      <c r="R143" s="142"/>
      <c r="S143" s="142" t="s">
        <v>1615</v>
      </c>
      <c r="T143" s="142"/>
      <c r="U143" s="142" t="s">
        <v>108</v>
      </c>
      <c r="V143" s="142" t="s">
        <v>122</v>
      </c>
      <c r="W143" s="142">
        <v>4000</v>
      </c>
      <c r="X143" s="104" t="s">
        <v>1671</v>
      </c>
      <c r="Y143" s="104" t="s">
        <v>1672</v>
      </c>
      <c r="Z143" s="104" t="s">
        <v>1673</v>
      </c>
      <c r="AA143" s="104"/>
      <c r="AB143" s="104" t="s">
        <v>1674</v>
      </c>
      <c r="AC143" s="104" t="s">
        <v>1675</v>
      </c>
      <c r="AD143" s="104" t="s">
        <v>1676</v>
      </c>
      <c r="AE143" s="1"/>
      <c r="AF143" s="30" t="str" cm="1">
        <f t="array" ref="AF143">_xlfn.IFS(COUNTIF(Table14623576[[#This Row],[PBT/ vPvB]],"*X*"), 20, TRUE, "")</f>
        <v/>
      </c>
      <c r="AG143" s="30" t="str" cm="1">
        <f t="array" ref="AG143">_xlfn.IFS(COUNTIF(Table14623576[[#This Row],[Perturbateur Endocrinien]],"*X*"), 20, TRUE, "")</f>
        <v/>
      </c>
      <c r="AH143" s="30" t="str" cm="1">
        <f t="array" ref="AH143">_xlfn.IFS(COUNTIF(Table14623576[[#This Row],[Phrases H]],"*H350*"), 20, TRUE, "")</f>
        <v/>
      </c>
      <c r="AI143" s="30" t="str" cm="1">
        <f t="array" ref="AI143">_xlfn.IFS(COUNTIF(Table14623576[[#This Row],[Phrases H]],"*H360*"), 20, TRUE, "")</f>
        <v/>
      </c>
      <c r="AJ143" s="30" t="str" cm="1">
        <f t="array" ref="AJ143">_xlfn.IFS(COUNTIF(Table14623576[[#This Row],[Phrases H]],"*H340*"), 20, TRUE, "")</f>
        <v/>
      </c>
      <c r="AK143" s="30" t="str" cm="1">
        <f t="array" ref="AK143">_xlfn.IFS(COUNTIF(Table14623576[[#This Row],[Phrases H]],"*H351*"), 10, TRUE, "")</f>
        <v/>
      </c>
      <c r="AL143" s="30" t="str" cm="1">
        <f t="array" ref="AL143">_xlfn.IFS(COUNTIF(Table14623576[[#This Row],[Phrases H]],"*H361*"), 10, TRUE, "")</f>
        <v/>
      </c>
      <c r="AM143" s="30" t="str" cm="1">
        <f t="array" ref="AM143">_xlfn.IFS(COUNTIF(Table14623576[[#This Row],[Phrases H]],"*H362*"), 10, TRUE, "")</f>
        <v/>
      </c>
      <c r="AN143" s="30" t="str" cm="1">
        <f t="array" ref="AN143">_xlfn.IFS(COUNTIF(Table14623576[[#This Row],[Phrases H]],"*H341*"), 10, TRUE, "")</f>
        <v/>
      </c>
      <c r="AO143" s="30" t="str" cm="1">
        <f t="array" ref="AO143">_xlfn.IFS(COUNTIF(Table14623576[[#This Row],[Phrases H]],"*H372*"), 10, TRUE, "")</f>
        <v/>
      </c>
      <c r="AP143" s="30" t="str" cm="1">
        <f t="array" ref="AP143">_xlfn.IFS(COUNTIF(Table14623576[[#This Row],[Phrases H]],"*H410*"), 10, TRUE, "")</f>
        <v/>
      </c>
      <c r="AQ143" s="30" t="str" cm="1">
        <f t="array" ref="AQ143">_xlfn.IFS(COUNTIF(Table14623576[[#This Row],[Phrases H]],"*H373*"), 5, TRUE, "")</f>
        <v/>
      </c>
      <c r="AR143" s="30" t="str" cm="1">
        <f t="array" ref="AR143">_xlfn.IFS(COUNTIF(Table14623576[[#This Row],[Phrases H]],"*H411*"), 5, TRUE, "")</f>
        <v/>
      </c>
      <c r="AS143" s="112">
        <f t="shared" si="88"/>
        <v>0</v>
      </c>
      <c r="AT143" s="144" t="s">
        <v>1674</v>
      </c>
      <c r="AU143" s="144">
        <v>4000</v>
      </c>
      <c r="AV143" s="114">
        <f t="shared" si="76"/>
        <v>40</v>
      </c>
      <c r="AW143" s="115" t="str">
        <f t="shared" si="74"/>
        <v>0</v>
      </c>
      <c r="AX143" s="116">
        <f t="shared" si="77"/>
        <v>0</v>
      </c>
      <c r="AY143" s="117">
        <f t="shared" si="78"/>
        <v>0</v>
      </c>
      <c r="AZ143" s="118" t="str">
        <f t="shared" si="89"/>
        <v>5</v>
      </c>
      <c r="BA143" s="119" t="str">
        <f t="shared" si="79"/>
        <v>5</v>
      </c>
      <c r="BB143" s="145"/>
      <c r="BC143" s="144">
        <v>1000</v>
      </c>
      <c r="BD143" s="113" t="s">
        <v>97</v>
      </c>
      <c r="BE143" s="120">
        <f t="shared" si="92"/>
        <v>15</v>
      </c>
      <c r="BF143" s="121" t="str">
        <f t="shared" si="90"/>
        <v>Production modérée</v>
      </c>
      <c r="BG143" s="122" t="str">
        <f t="shared" si="91"/>
        <v>C</v>
      </c>
      <c r="BH143" s="145"/>
      <c r="BI143" s="7" t="s">
        <v>1623</v>
      </c>
      <c r="BJ143" s="130">
        <v>2</v>
      </c>
      <c r="BK143" s="7" t="s">
        <v>1623</v>
      </c>
      <c r="BL143" s="131">
        <v>2</v>
      </c>
      <c r="BM143" s="132" t="s">
        <v>131</v>
      </c>
      <c r="BN143"/>
      <c r="BO143" s="60" t="str">
        <f t="shared" si="94"/>
        <v>Catégorie 5C OUI</v>
      </c>
      <c r="BP143"/>
      <c r="BQ143" s="42" t="s">
        <v>1466</v>
      </c>
      <c r="BR143"/>
      <c r="BS143" s="187" t="str">
        <f t="shared" si="80"/>
        <v/>
      </c>
      <c r="BT143" s="19" t="str">
        <f t="shared" si="81"/>
        <v/>
      </c>
      <c r="BU143" s="19" t="str">
        <f t="shared" si="82"/>
        <v/>
      </c>
      <c r="BV143" s="10"/>
      <c r="BW143" s="5" t="str">
        <f t="shared" si="83"/>
        <v/>
      </c>
      <c r="BX143" s="5" t="str">
        <f t="shared" si="84"/>
        <v>X</v>
      </c>
      <c r="BY143"/>
      <c r="BZ143" s="5" t="str">
        <f t="shared" si="85"/>
        <v>X</v>
      </c>
      <c r="CA143" s="5" t="str">
        <f t="shared" si="86"/>
        <v>X</v>
      </c>
      <c r="CB143" s="188" t="str">
        <f t="shared" si="87"/>
        <v>X</v>
      </c>
    </row>
    <row r="144" spans="1:80" s="27" customFormat="1" ht="49.5" customHeight="1" x14ac:dyDescent="0.55000000000000004">
      <c r="A144" s="154">
        <v>6</v>
      </c>
      <c r="B144" s="104" t="s">
        <v>1607</v>
      </c>
      <c r="C144" s="154" t="s">
        <v>1677</v>
      </c>
      <c r="D144" s="154" t="s">
        <v>1678</v>
      </c>
      <c r="E144" s="154" t="s">
        <v>1679</v>
      </c>
      <c r="F144" s="154" t="s">
        <v>1680</v>
      </c>
      <c r="G144" s="154" t="s">
        <v>1681</v>
      </c>
      <c r="H144" s="154" t="s">
        <v>1682</v>
      </c>
      <c r="I144" s="104"/>
      <c r="J144" s="104"/>
      <c r="K144" s="142" t="s">
        <v>1644</v>
      </c>
      <c r="L144" s="142"/>
      <c r="M144" s="142"/>
      <c r="N144" s="142" t="s">
        <v>85</v>
      </c>
      <c r="O144" s="142"/>
      <c r="P144" s="142" t="s">
        <v>85</v>
      </c>
      <c r="Q144" s="142"/>
      <c r="R144" s="142"/>
      <c r="S144" s="142" t="s">
        <v>1615</v>
      </c>
      <c r="T144" s="142" t="s">
        <v>85</v>
      </c>
      <c r="U144" s="142" t="s">
        <v>108</v>
      </c>
      <c r="V144" s="142" t="s">
        <v>122</v>
      </c>
      <c r="W144" s="142">
        <v>932</v>
      </c>
      <c r="X144" s="104" t="s">
        <v>1683</v>
      </c>
      <c r="Y144" s="104" t="s">
        <v>1684</v>
      </c>
      <c r="Z144" s="104" t="s">
        <v>1685</v>
      </c>
      <c r="AA144" s="104"/>
      <c r="AB144" s="104" t="s">
        <v>1686</v>
      </c>
      <c r="AC144" s="104" t="s">
        <v>1687</v>
      </c>
      <c r="AD144" s="104" t="s">
        <v>1688</v>
      </c>
      <c r="AE144" s="1"/>
      <c r="AF144" s="30" t="str" cm="1">
        <f t="array" ref="AF144">_xlfn.IFS(COUNTIF(Table14623576[[#This Row],[PBT/ vPvB]],"*X*"), 20, TRUE, "")</f>
        <v/>
      </c>
      <c r="AG144" s="30" cm="1">
        <f t="array" ref="AG144">_xlfn.IFS(COUNTIF(Table14623576[[#This Row],[Perturbateur Endocrinien]],"*X*"), 20, TRUE, "")</f>
        <v>20</v>
      </c>
      <c r="AH144" s="30" t="str" cm="1">
        <f t="array" ref="AH144">_xlfn.IFS(COUNTIF(Table14623576[[#This Row],[Phrases H]],"*H350*"), 20, TRUE, "")</f>
        <v/>
      </c>
      <c r="AI144" s="30" t="str" cm="1">
        <f t="array" ref="AI144">_xlfn.IFS(COUNTIF(Table14623576[[#This Row],[Phrases H]],"*H360*"), 20, TRUE, "")</f>
        <v/>
      </c>
      <c r="AJ144" s="30" t="str" cm="1">
        <f t="array" ref="AJ144">_xlfn.IFS(COUNTIF(Table14623576[[#This Row],[Phrases H]],"*H340*"), 20, TRUE, "")</f>
        <v/>
      </c>
      <c r="AK144" s="30" t="str" cm="1">
        <f t="array" ref="AK144">_xlfn.IFS(COUNTIF(Table14623576[[#This Row],[Phrases H]],"*H351*"), 10, TRUE, "")</f>
        <v/>
      </c>
      <c r="AL144" s="30" t="str" cm="1">
        <f t="array" ref="AL144">_xlfn.IFS(COUNTIF(Table14623576[[#This Row],[Phrases H]],"*H361*"), 10, TRUE, "")</f>
        <v/>
      </c>
      <c r="AM144" s="30" t="str" cm="1">
        <f t="array" ref="AM144">_xlfn.IFS(COUNTIF(Table14623576[[#This Row],[Phrases H]],"*H362*"), 10, TRUE, "")</f>
        <v/>
      </c>
      <c r="AN144" s="30" t="str" cm="1">
        <f t="array" ref="AN144">_xlfn.IFS(COUNTIF(Table14623576[[#This Row],[Phrases H]],"*H341*"), 10, TRUE, "")</f>
        <v/>
      </c>
      <c r="AO144" s="30" t="str" cm="1">
        <f t="array" ref="AO144">_xlfn.IFS(COUNTIF(Table14623576[[#This Row],[Phrases H]],"*H372*"), 10, TRUE, "")</f>
        <v/>
      </c>
      <c r="AP144" s="30" t="str" cm="1">
        <f t="array" ref="AP144">_xlfn.IFS(COUNTIF(Table14623576[[#This Row],[Phrases H]],"*H410*"), 10, TRUE, "")</f>
        <v/>
      </c>
      <c r="AQ144" s="30" t="str" cm="1">
        <f t="array" ref="AQ144">_xlfn.IFS(COUNTIF(Table14623576[[#This Row],[Phrases H]],"*H373*"), 5, TRUE, "")</f>
        <v/>
      </c>
      <c r="AR144" s="30" t="str" cm="1">
        <f t="array" ref="AR144">_xlfn.IFS(COUNTIF(Table14623576[[#This Row],[Phrases H]],"*H411*"), 5, TRUE, "")</f>
        <v/>
      </c>
      <c r="AS144" s="112">
        <f t="shared" si="88"/>
        <v>20</v>
      </c>
      <c r="AT144" s="144" t="s">
        <v>1686</v>
      </c>
      <c r="AU144" s="144">
        <v>932</v>
      </c>
      <c r="AV144" s="114">
        <f t="shared" si="76"/>
        <v>30</v>
      </c>
      <c r="AW144" s="115" t="str">
        <f t="shared" si="74"/>
        <v>0</v>
      </c>
      <c r="AX144" s="116">
        <f t="shared" si="77"/>
        <v>20</v>
      </c>
      <c r="AY144" s="117">
        <f t="shared" si="78"/>
        <v>0.23529411764705882</v>
      </c>
      <c r="AZ144" s="118" t="str">
        <f t="shared" si="89"/>
        <v>4</v>
      </c>
      <c r="BA144" s="119" t="str">
        <f t="shared" si="79"/>
        <v>4</v>
      </c>
      <c r="BB144" s="145"/>
      <c r="BC144" s="144">
        <v>1000</v>
      </c>
      <c r="BD144" s="113" t="s">
        <v>97</v>
      </c>
      <c r="BE144" s="120">
        <f t="shared" si="92"/>
        <v>15</v>
      </c>
      <c r="BF144" s="121" t="str">
        <f t="shared" si="90"/>
        <v>Production modérée</v>
      </c>
      <c r="BG144" s="122" t="str">
        <f t="shared" si="91"/>
        <v>C</v>
      </c>
      <c r="BH144" s="145"/>
      <c r="BI144" s="7" t="s">
        <v>1689</v>
      </c>
      <c r="BJ144" s="130">
        <v>3</v>
      </c>
      <c r="BK144" s="7" t="s">
        <v>1689</v>
      </c>
      <c r="BL144" s="131">
        <v>3</v>
      </c>
      <c r="BM144" s="132" t="s">
        <v>131</v>
      </c>
      <c r="BN144"/>
      <c r="BO144" s="60" t="str">
        <f t="shared" si="94"/>
        <v>Catégorie 4C OUI</v>
      </c>
      <c r="BP144"/>
      <c r="BQ144" s="42" t="s">
        <v>1466</v>
      </c>
      <c r="BR144"/>
      <c r="BS144" s="187" t="str">
        <f t="shared" si="80"/>
        <v/>
      </c>
      <c r="BT144" s="19" t="str">
        <f t="shared" si="81"/>
        <v/>
      </c>
      <c r="BU144" s="19" t="str">
        <f t="shared" si="82"/>
        <v/>
      </c>
      <c r="BV144" s="10"/>
      <c r="BW144" s="5" t="str">
        <f t="shared" si="83"/>
        <v/>
      </c>
      <c r="BX144" s="5" t="str">
        <f t="shared" si="84"/>
        <v>X</v>
      </c>
      <c r="BY144"/>
      <c r="BZ144" s="5" t="str">
        <f t="shared" si="85"/>
        <v>X</v>
      </c>
      <c r="CA144" s="5" t="str">
        <f t="shared" si="86"/>
        <v>X</v>
      </c>
      <c r="CB144" s="188" t="str">
        <f t="shared" si="87"/>
        <v>X</v>
      </c>
    </row>
    <row r="145" spans="1:80" s="27" customFormat="1" ht="30" customHeight="1" x14ac:dyDescent="0.55000000000000004">
      <c r="A145" s="154">
        <v>7</v>
      </c>
      <c r="B145" s="104" t="s">
        <v>1607</v>
      </c>
      <c r="C145" s="141" t="s">
        <v>1690</v>
      </c>
      <c r="D145" s="141" t="s">
        <v>1691</v>
      </c>
      <c r="E145" s="154" t="s">
        <v>1692</v>
      </c>
      <c r="F145" s="154" t="s">
        <v>1693</v>
      </c>
      <c r="G145" s="141" t="s">
        <v>1694</v>
      </c>
      <c r="H145" s="141" t="s">
        <v>1695</v>
      </c>
      <c r="I145" s="104"/>
      <c r="J145" s="104"/>
      <c r="K145" s="142" t="s">
        <v>88</v>
      </c>
      <c r="L145" s="142"/>
      <c r="M145" s="142"/>
      <c r="N145" s="142"/>
      <c r="O145" s="142"/>
      <c r="P145" s="142" t="s">
        <v>85</v>
      </c>
      <c r="Q145" s="142"/>
      <c r="R145" s="142"/>
      <c r="S145" s="142" t="s">
        <v>88</v>
      </c>
      <c r="T145" s="142"/>
      <c r="U145" s="142" t="s">
        <v>1696</v>
      </c>
      <c r="V145" s="142" t="s">
        <v>88</v>
      </c>
      <c r="W145" s="147">
        <v>108</v>
      </c>
      <c r="X145" s="104" t="s">
        <v>1697</v>
      </c>
      <c r="Y145" s="104" t="s">
        <v>1698</v>
      </c>
      <c r="Z145" s="104" t="s">
        <v>1699</v>
      </c>
      <c r="AA145" s="104"/>
      <c r="AB145" s="104" t="s">
        <v>1700</v>
      </c>
      <c r="AC145" s="104" t="s">
        <v>1701</v>
      </c>
      <c r="AD145" s="104" t="s">
        <v>1702</v>
      </c>
      <c r="AE145" s="1"/>
      <c r="AF145" s="30" t="str" cm="1">
        <f t="array" ref="AF145">_xlfn.IFS(COUNTIF(Table14623576[[#This Row],[PBT/ vPvB]],"*X*"), 20, TRUE, "")</f>
        <v/>
      </c>
      <c r="AG145" s="30" t="str" cm="1">
        <f t="array" ref="AG145">_xlfn.IFS(COUNTIF(Table14623576[[#This Row],[Perturbateur Endocrinien]],"*X*"), 20, TRUE, "")</f>
        <v/>
      </c>
      <c r="AH145" s="30" t="str" cm="1">
        <f t="array" ref="AH145">_xlfn.IFS(COUNTIF(Table14623576[[#This Row],[Phrases H]],"*H350*"), 20, TRUE, "")</f>
        <v/>
      </c>
      <c r="AI145" s="30" t="str" cm="1">
        <f t="array" ref="AI145">_xlfn.IFS(COUNTIF(Table14623576[[#This Row],[Phrases H]],"*H360*"), 20, TRUE, "")</f>
        <v/>
      </c>
      <c r="AJ145" s="30" t="str" cm="1">
        <f t="array" ref="AJ145">_xlfn.IFS(COUNTIF(Table14623576[[#This Row],[Phrases H]],"*H340*"), 20, TRUE, "")</f>
        <v/>
      </c>
      <c r="AK145" s="30" t="str" cm="1">
        <f t="array" ref="AK145">_xlfn.IFS(COUNTIF(Table14623576[[#This Row],[Phrases H]],"*H351*"), 10, TRUE, "")</f>
        <v/>
      </c>
      <c r="AL145" s="30" cm="1">
        <f t="array" ref="AL145">_xlfn.IFS(COUNTIF(Table14623576[[#This Row],[Phrases H]],"*H361*"), 10, TRUE, "")</f>
        <v>10</v>
      </c>
      <c r="AM145" s="30" t="str" cm="1">
        <f t="array" ref="AM145">_xlfn.IFS(COUNTIF(Table14623576[[#This Row],[Phrases H]],"*H362*"), 10, TRUE, "")</f>
        <v/>
      </c>
      <c r="AN145" s="30" t="str" cm="1">
        <f t="array" ref="AN145">_xlfn.IFS(COUNTIF(Table14623576[[#This Row],[Phrases H]],"*H341*"), 10, TRUE, "")</f>
        <v/>
      </c>
      <c r="AO145" s="30" t="str" cm="1">
        <f t="array" ref="AO145">_xlfn.IFS(COUNTIF(Table14623576[[#This Row],[Phrases H]],"*H372*"), 10, TRUE, "")</f>
        <v/>
      </c>
      <c r="AP145" s="30" t="str" cm="1">
        <f t="array" ref="AP145">_xlfn.IFS(COUNTIF(Table14623576[[#This Row],[Phrases H]],"*H410*"), 10, TRUE, "")</f>
        <v/>
      </c>
      <c r="AQ145" s="30" t="str" cm="1">
        <f t="array" ref="AQ145">_xlfn.IFS(COUNTIF(Table14623576[[#This Row],[Phrases H]],"*H373*"), 5, TRUE, "")</f>
        <v/>
      </c>
      <c r="AR145" s="30" cm="1">
        <f t="array" ref="AR145">_xlfn.IFS(COUNTIF(Table14623576[[#This Row],[Phrases H]],"*H411*"), 5, TRUE, "")</f>
        <v>5</v>
      </c>
      <c r="AS145" s="112">
        <f t="shared" si="88"/>
        <v>15</v>
      </c>
      <c r="AT145" s="144" t="s">
        <v>1700</v>
      </c>
      <c r="AU145" s="144">
        <v>108</v>
      </c>
      <c r="AV145" s="114">
        <f t="shared" si="76"/>
        <v>30</v>
      </c>
      <c r="AW145" s="115" t="str">
        <f t="shared" si="74"/>
        <v>0</v>
      </c>
      <c r="AX145" s="116">
        <f t="shared" si="77"/>
        <v>15</v>
      </c>
      <c r="AY145" s="117">
        <f t="shared" si="78"/>
        <v>0.17647058823529413</v>
      </c>
      <c r="AZ145" s="118" t="str">
        <f t="shared" si="89"/>
        <v>5</v>
      </c>
      <c r="BA145" s="119" t="str">
        <f t="shared" si="79"/>
        <v>5</v>
      </c>
      <c r="BB145" s="145"/>
      <c r="BC145" s="144" t="s">
        <v>88</v>
      </c>
      <c r="BD145" s="113" t="s">
        <v>97</v>
      </c>
      <c r="BE145" s="120">
        <f t="shared" si="92"/>
        <v>0</v>
      </c>
      <c r="BF145" s="121" t="str">
        <f t="shared" si="90"/>
        <v>N/A</v>
      </c>
      <c r="BG145" s="122" t="str">
        <f t="shared" si="91"/>
        <v>E</v>
      </c>
      <c r="BH145" s="145"/>
      <c r="BI145" s="7"/>
      <c r="BJ145" s="130">
        <v>0</v>
      </c>
      <c r="BK145" s="7"/>
      <c r="BL145" s="131">
        <v>0</v>
      </c>
      <c r="BM145" s="132" t="s">
        <v>99</v>
      </c>
      <c r="BN145"/>
      <c r="BO145" s="60" t="str">
        <f t="shared" si="94"/>
        <v>Catégorie 5E NON</v>
      </c>
      <c r="BP145"/>
      <c r="BQ145" s="42" t="s">
        <v>1466</v>
      </c>
      <c r="BR145"/>
      <c r="BS145" s="187" t="str">
        <f t="shared" si="80"/>
        <v/>
      </c>
      <c r="BT145" s="19" t="str">
        <f t="shared" si="81"/>
        <v/>
      </c>
      <c r="BU145" s="19" t="str">
        <f t="shared" si="82"/>
        <v/>
      </c>
      <c r="BV145" s="10"/>
      <c r="BW145" s="5" t="str">
        <f t="shared" si="83"/>
        <v>X</v>
      </c>
      <c r="BX145" s="5" t="str">
        <f t="shared" si="84"/>
        <v/>
      </c>
      <c r="BY145"/>
      <c r="BZ145" s="5" t="str">
        <f t="shared" si="85"/>
        <v/>
      </c>
      <c r="CA145" s="5" t="str">
        <f t="shared" si="86"/>
        <v/>
      </c>
      <c r="CB145" s="188" t="str">
        <f t="shared" si="87"/>
        <v/>
      </c>
    </row>
    <row r="146" spans="1:80" s="27" customFormat="1" ht="30" customHeight="1" x14ac:dyDescent="0.55000000000000004">
      <c r="A146" s="154">
        <v>8</v>
      </c>
      <c r="B146" s="104" t="s">
        <v>1607</v>
      </c>
      <c r="C146" s="154" t="s">
        <v>1703</v>
      </c>
      <c r="D146" s="154" t="s">
        <v>1704</v>
      </c>
      <c r="E146" s="141" t="s">
        <v>1705</v>
      </c>
      <c r="F146" s="154" t="s">
        <v>1706</v>
      </c>
      <c r="G146" s="154" t="s">
        <v>1707</v>
      </c>
      <c r="H146" s="141" t="s">
        <v>1708</v>
      </c>
      <c r="I146" s="104"/>
      <c r="J146" s="104"/>
      <c r="K146" s="142" t="s">
        <v>1709</v>
      </c>
      <c r="L146" s="142"/>
      <c r="M146" s="142"/>
      <c r="N146" s="142"/>
      <c r="O146" s="142" t="s">
        <v>85</v>
      </c>
      <c r="P146" s="142"/>
      <c r="Q146" s="142"/>
      <c r="R146" s="142"/>
      <c r="S146" s="142" t="s">
        <v>1615</v>
      </c>
      <c r="T146" s="142"/>
      <c r="U146" s="142" t="s">
        <v>1710</v>
      </c>
      <c r="V146" s="142" t="s">
        <v>88</v>
      </c>
      <c r="W146" s="142" t="s">
        <v>1711</v>
      </c>
      <c r="X146" s="104" t="s">
        <v>1712</v>
      </c>
      <c r="Y146" s="104" t="s">
        <v>1713</v>
      </c>
      <c r="Z146" s="104" t="s">
        <v>1714</v>
      </c>
      <c r="AA146" s="104"/>
      <c r="AB146" s="104" t="s">
        <v>1715</v>
      </c>
      <c r="AC146" s="104" t="s">
        <v>1716</v>
      </c>
      <c r="AD146" s="104" t="s">
        <v>1717</v>
      </c>
      <c r="AE146" s="1"/>
      <c r="AF146" s="30" t="str" cm="1">
        <f t="array" ref="AF146">_xlfn.IFS(COUNTIF(Table14623576[[#This Row],[PBT/ vPvB]],"*X*"), 20, TRUE, "")</f>
        <v/>
      </c>
      <c r="AG146" s="30" t="str" cm="1">
        <f t="array" ref="AG146">_xlfn.IFS(COUNTIF(Table14623576[[#This Row],[Perturbateur Endocrinien]],"*X*"), 20, TRUE, "")</f>
        <v/>
      </c>
      <c r="AH146" s="30" t="str" cm="1">
        <f t="array" ref="AH146">_xlfn.IFS(COUNTIF(Table14623576[[#This Row],[Phrases H]],"*H350*"), 20, TRUE, "")</f>
        <v/>
      </c>
      <c r="AI146" s="30" cm="1">
        <f t="array" ref="AI146">_xlfn.IFS(COUNTIF(Table14623576[[#This Row],[Phrases H]],"*H360*"), 20, TRUE, "")</f>
        <v>20</v>
      </c>
      <c r="AJ146" s="30" t="str" cm="1">
        <f t="array" ref="AJ146">_xlfn.IFS(COUNTIF(Table14623576[[#This Row],[Phrases H]],"*H340*"), 20, TRUE, "")</f>
        <v/>
      </c>
      <c r="AK146" s="30" t="str" cm="1">
        <f t="array" ref="AK146">_xlfn.IFS(COUNTIF(Table14623576[[#This Row],[Phrases H]],"*H351*"), 10, TRUE, "")</f>
        <v/>
      </c>
      <c r="AL146" s="30" t="str" cm="1">
        <f t="array" ref="AL146">_xlfn.IFS(COUNTIF(Table14623576[[#This Row],[Phrases H]],"*H361*"), 10, TRUE, "")</f>
        <v/>
      </c>
      <c r="AM146" s="30" t="str" cm="1">
        <f t="array" ref="AM146">_xlfn.IFS(COUNTIF(Table14623576[[#This Row],[Phrases H]],"*H362*"), 10, TRUE, "")</f>
        <v/>
      </c>
      <c r="AN146" s="30" t="str" cm="1">
        <f t="array" ref="AN146">_xlfn.IFS(COUNTIF(Table14623576[[#This Row],[Phrases H]],"*H341*"), 10, TRUE, "")</f>
        <v/>
      </c>
      <c r="AO146" s="30" t="str" cm="1">
        <f t="array" ref="AO146">_xlfn.IFS(COUNTIF(Table14623576[[#This Row],[Phrases H]],"*H372*"), 10, TRUE, "")</f>
        <v/>
      </c>
      <c r="AP146" s="30" t="str" cm="1">
        <f t="array" ref="AP146">_xlfn.IFS(COUNTIF(Table14623576[[#This Row],[Phrases H]],"*H410*"), 10, TRUE, "")</f>
        <v/>
      </c>
      <c r="AQ146" s="30" t="str" cm="1">
        <f t="array" ref="AQ146">_xlfn.IFS(COUNTIF(Table14623576[[#This Row],[Phrases H]],"*H373*"), 5, TRUE, "")</f>
        <v/>
      </c>
      <c r="AR146" s="30" t="str" cm="1">
        <f t="array" ref="AR146">_xlfn.IFS(COUNTIF(Table14623576[[#This Row],[Phrases H]],"*H411*"), 5, TRUE, "")</f>
        <v/>
      </c>
      <c r="AS146" s="112">
        <f t="shared" si="88"/>
        <v>20</v>
      </c>
      <c r="AT146" s="144" t="s">
        <v>1715</v>
      </c>
      <c r="AU146" s="144" t="s">
        <v>1711</v>
      </c>
      <c r="AV146" s="114">
        <f t="shared" si="76"/>
        <v>50</v>
      </c>
      <c r="AW146" s="115" t="str">
        <f t="shared" si="74"/>
        <v>0</v>
      </c>
      <c r="AX146" s="116">
        <f t="shared" si="77"/>
        <v>20</v>
      </c>
      <c r="AY146" s="117">
        <f t="shared" si="78"/>
        <v>0.23529411764705882</v>
      </c>
      <c r="AZ146" s="118" t="str">
        <f t="shared" si="89"/>
        <v>4</v>
      </c>
      <c r="BA146" s="119" t="str">
        <f t="shared" si="79"/>
        <v>4</v>
      </c>
      <c r="BB146" s="145"/>
      <c r="BC146" s="144">
        <v>100</v>
      </c>
      <c r="BD146" s="113" t="s">
        <v>97</v>
      </c>
      <c r="BE146" s="120">
        <f t="shared" si="92"/>
        <v>10</v>
      </c>
      <c r="BF146" s="121" t="str">
        <f t="shared" si="90"/>
        <v>Faible production</v>
      </c>
      <c r="BG146" s="122" t="str">
        <f t="shared" si="91"/>
        <v>D</v>
      </c>
      <c r="BH146" s="145"/>
      <c r="BI146" s="7"/>
      <c r="BJ146" s="130">
        <v>0</v>
      </c>
      <c r="BK146" s="7"/>
      <c r="BL146" s="131">
        <v>0</v>
      </c>
      <c r="BM146" s="132" t="s">
        <v>99</v>
      </c>
      <c r="BN146"/>
      <c r="BO146" s="60" t="str">
        <f t="shared" si="94"/>
        <v>Catégorie 4D NON</v>
      </c>
      <c r="BP146"/>
      <c r="BQ146" s="42" t="s">
        <v>1466</v>
      </c>
      <c r="BR146"/>
      <c r="BS146" s="187" t="str">
        <f t="shared" si="80"/>
        <v/>
      </c>
      <c r="BT146" s="19" t="str">
        <f t="shared" si="81"/>
        <v/>
      </c>
      <c r="BU146" s="19" t="str">
        <f t="shared" si="82"/>
        <v/>
      </c>
      <c r="BV146" s="10"/>
      <c r="BW146" s="5" t="str">
        <f t="shared" si="83"/>
        <v>X</v>
      </c>
      <c r="BX146" s="5" t="str">
        <f t="shared" si="84"/>
        <v/>
      </c>
      <c r="BY146"/>
      <c r="BZ146" s="5" t="str">
        <f t="shared" si="85"/>
        <v/>
      </c>
      <c r="CA146" s="5" t="str">
        <f t="shared" si="86"/>
        <v/>
      </c>
      <c r="CB146" s="188" t="str">
        <f t="shared" si="87"/>
        <v/>
      </c>
    </row>
    <row r="147" spans="1:80" s="27" customFormat="1" ht="30" customHeight="1" x14ac:dyDescent="0.55000000000000004">
      <c r="A147" s="154">
        <v>9</v>
      </c>
      <c r="B147" s="104" t="s">
        <v>1607</v>
      </c>
      <c r="C147" s="154" t="s">
        <v>1718</v>
      </c>
      <c r="D147" s="154" t="s">
        <v>1719</v>
      </c>
      <c r="E147" s="154" t="s">
        <v>1720</v>
      </c>
      <c r="F147" s="154" t="s">
        <v>1721</v>
      </c>
      <c r="G147" s="154" t="s">
        <v>1707</v>
      </c>
      <c r="H147" s="141" t="s">
        <v>1722</v>
      </c>
      <c r="I147" s="104"/>
      <c r="J147" s="104"/>
      <c r="K147" s="142" t="s">
        <v>88</v>
      </c>
      <c r="L147" s="142"/>
      <c r="M147" s="142"/>
      <c r="N147" s="142"/>
      <c r="O147" s="142" t="s">
        <v>85</v>
      </c>
      <c r="P147" s="142"/>
      <c r="Q147" s="142"/>
      <c r="R147" s="142"/>
      <c r="S147" s="142" t="s">
        <v>88</v>
      </c>
      <c r="T147" s="142"/>
      <c r="U147" s="142" t="s">
        <v>1710</v>
      </c>
      <c r="V147" s="142" t="s">
        <v>88</v>
      </c>
      <c r="W147" s="142" t="s">
        <v>88</v>
      </c>
      <c r="X147" s="104" t="s">
        <v>88</v>
      </c>
      <c r="Y147" s="104" t="s">
        <v>88</v>
      </c>
      <c r="Z147" s="104" t="s">
        <v>88</v>
      </c>
      <c r="AA147" s="104"/>
      <c r="AB147" s="104" t="s">
        <v>88</v>
      </c>
      <c r="AC147" s="104" t="s">
        <v>88</v>
      </c>
      <c r="AD147" s="104" t="s">
        <v>88</v>
      </c>
      <c r="AE147" s="1"/>
      <c r="AF147" s="30" t="str" cm="1">
        <f t="array" ref="AF147">_xlfn.IFS(COUNTIF(Table14623576[[#This Row],[PBT/ vPvB]],"*X*"), 20, TRUE, "")</f>
        <v/>
      </c>
      <c r="AG147" s="30" t="str" cm="1">
        <f t="array" ref="AG147">_xlfn.IFS(COUNTIF(Table14623576[[#This Row],[Perturbateur Endocrinien]],"*X*"), 20, TRUE, "")</f>
        <v/>
      </c>
      <c r="AH147" s="30" t="str" cm="1">
        <f t="array" ref="AH147">_xlfn.IFS(COUNTIF(Table14623576[[#This Row],[Phrases H]],"*H350*"), 20, TRUE, "")</f>
        <v/>
      </c>
      <c r="AI147" s="30" cm="1">
        <f t="array" ref="AI147">_xlfn.IFS(COUNTIF(Table14623576[[#This Row],[Phrases H]],"*H360*"), 20, TRUE, "")</f>
        <v>20</v>
      </c>
      <c r="AJ147" s="30" t="str" cm="1">
        <f t="array" ref="AJ147">_xlfn.IFS(COUNTIF(Table14623576[[#This Row],[Phrases H]],"*H340*"), 20, TRUE, "")</f>
        <v/>
      </c>
      <c r="AK147" s="30" t="str" cm="1">
        <f t="array" ref="AK147">_xlfn.IFS(COUNTIF(Table14623576[[#This Row],[Phrases H]],"*H351*"), 10, TRUE, "")</f>
        <v/>
      </c>
      <c r="AL147" s="30" t="str" cm="1">
        <f t="array" ref="AL147">_xlfn.IFS(COUNTIF(Table14623576[[#This Row],[Phrases H]],"*H361*"), 10, TRUE, "")</f>
        <v/>
      </c>
      <c r="AM147" s="30" t="str" cm="1">
        <f t="array" ref="AM147">_xlfn.IFS(COUNTIF(Table14623576[[#This Row],[Phrases H]],"*H362*"), 10, TRUE, "")</f>
        <v/>
      </c>
      <c r="AN147" s="30" t="str" cm="1">
        <f t="array" ref="AN147">_xlfn.IFS(COUNTIF(Table14623576[[#This Row],[Phrases H]],"*H341*"), 10, TRUE, "")</f>
        <v/>
      </c>
      <c r="AO147" s="30" t="str" cm="1">
        <f t="array" ref="AO147">_xlfn.IFS(COUNTIF(Table14623576[[#This Row],[Phrases H]],"*H372*"), 10, TRUE, "")</f>
        <v/>
      </c>
      <c r="AP147" s="30" t="str" cm="1">
        <f t="array" ref="AP147">_xlfn.IFS(COUNTIF(Table14623576[[#This Row],[Phrases H]],"*H410*"), 10, TRUE, "")</f>
        <v/>
      </c>
      <c r="AQ147" s="30" t="str" cm="1">
        <f t="array" ref="AQ147">_xlfn.IFS(COUNTIF(Table14623576[[#This Row],[Phrases H]],"*H373*"), 5, TRUE, "")</f>
        <v/>
      </c>
      <c r="AR147" s="30" t="str" cm="1">
        <f t="array" ref="AR147">_xlfn.IFS(COUNTIF(Table14623576[[#This Row],[Phrases H]],"*H411*"), 5, TRUE, "")</f>
        <v/>
      </c>
      <c r="AS147" s="112">
        <f t="shared" si="88"/>
        <v>20</v>
      </c>
      <c r="AT147" s="144" t="s">
        <v>88</v>
      </c>
      <c r="AU147" s="144" t="s">
        <v>88</v>
      </c>
      <c r="AV147" s="114" t="str">
        <f t="shared" si="76"/>
        <v>N/A</v>
      </c>
      <c r="AW147" s="115">
        <v>20</v>
      </c>
      <c r="AX147" s="116">
        <f t="shared" si="77"/>
        <v>40</v>
      </c>
      <c r="AY147" s="117">
        <f t="shared" si="78"/>
        <v>0.47058823529411764</v>
      </c>
      <c r="AZ147" s="118" t="str">
        <f t="shared" si="89"/>
        <v>3</v>
      </c>
      <c r="BA147" s="119" t="str">
        <f t="shared" si="79"/>
        <v>3</v>
      </c>
      <c r="BB147" s="145"/>
      <c r="BC147" s="144" t="s">
        <v>88</v>
      </c>
      <c r="BD147" s="113" t="s">
        <v>97</v>
      </c>
      <c r="BE147" s="120">
        <f t="shared" si="92"/>
        <v>0</v>
      </c>
      <c r="BF147" s="121" t="str">
        <f t="shared" si="90"/>
        <v>N/A</v>
      </c>
      <c r="BG147" s="122" t="str">
        <f t="shared" si="91"/>
        <v>E</v>
      </c>
      <c r="BH147" s="145"/>
      <c r="BI147" s="7"/>
      <c r="BJ147" s="130">
        <v>0</v>
      </c>
      <c r="BK147" s="7"/>
      <c r="BL147" s="131">
        <v>0</v>
      </c>
      <c r="BM147" s="132" t="s">
        <v>99</v>
      </c>
      <c r="BN147"/>
      <c r="BO147" s="60" t="str">
        <f t="shared" si="94"/>
        <v>Catégorie 3E NON</v>
      </c>
      <c r="BP147"/>
      <c r="BQ147" s="42" t="s">
        <v>88</v>
      </c>
      <c r="BR147"/>
      <c r="BS147" s="187" t="str">
        <f t="shared" si="80"/>
        <v>X</v>
      </c>
      <c r="BT147" s="19" t="str">
        <f t="shared" si="81"/>
        <v/>
      </c>
      <c r="BU147" s="19" t="str">
        <f t="shared" si="82"/>
        <v/>
      </c>
      <c r="BV147" s="10"/>
      <c r="BW147" s="5" t="str">
        <f t="shared" si="83"/>
        <v>X</v>
      </c>
      <c r="BX147" s="5" t="str">
        <f t="shared" si="84"/>
        <v/>
      </c>
      <c r="BY147"/>
      <c r="BZ147" s="5" t="str">
        <f t="shared" si="85"/>
        <v/>
      </c>
      <c r="CA147" s="5" t="str">
        <f t="shared" si="86"/>
        <v/>
      </c>
      <c r="CB147" s="188" t="str">
        <f t="shared" si="87"/>
        <v/>
      </c>
    </row>
    <row r="148" spans="1:80" s="27" customFormat="1" ht="30" customHeight="1" x14ac:dyDescent="0.55000000000000004">
      <c r="A148" s="154">
        <v>10</v>
      </c>
      <c r="B148" s="104" t="s">
        <v>1607</v>
      </c>
      <c r="C148" s="154" t="s">
        <v>1723</v>
      </c>
      <c r="D148" s="154" t="s">
        <v>1724</v>
      </c>
      <c r="E148" s="154" t="s">
        <v>1705</v>
      </c>
      <c r="F148" s="154" t="s">
        <v>1725</v>
      </c>
      <c r="G148" s="154" t="s">
        <v>1707</v>
      </c>
      <c r="H148" s="141" t="s">
        <v>1726</v>
      </c>
      <c r="I148" s="104"/>
      <c r="J148" s="104"/>
      <c r="K148" s="142" t="s">
        <v>88</v>
      </c>
      <c r="L148" s="142"/>
      <c r="M148" s="142"/>
      <c r="N148" s="142"/>
      <c r="O148" s="142" t="s">
        <v>85</v>
      </c>
      <c r="P148" s="142"/>
      <c r="Q148" s="142"/>
      <c r="R148" s="142"/>
      <c r="S148" s="142" t="s">
        <v>88</v>
      </c>
      <c r="T148" s="142"/>
      <c r="U148" s="142" t="s">
        <v>1727</v>
      </c>
      <c r="V148" s="142" t="s">
        <v>88</v>
      </c>
      <c r="W148" s="142" t="s">
        <v>1711</v>
      </c>
      <c r="X148" s="104" t="s">
        <v>1712</v>
      </c>
      <c r="Y148" s="104" t="s">
        <v>1728</v>
      </c>
      <c r="Z148" s="104" t="s">
        <v>1729</v>
      </c>
      <c r="AA148" s="104"/>
      <c r="AB148" s="104" t="s">
        <v>1730</v>
      </c>
      <c r="AC148" s="104" t="s">
        <v>1731</v>
      </c>
      <c r="AD148" s="104" t="s">
        <v>1717</v>
      </c>
      <c r="AE148" s="1"/>
      <c r="AF148" s="30" t="str" cm="1">
        <f t="array" ref="AF148">_xlfn.IFS(COUNTIF(Table14623576[[#This Row],[PBT/ vPvB]],"*X*"), 20, TRUE, "")</f>
        <v/>
      </c>
      <c r="AG148" s="30" t="str" cm="1">
        <f t="array" ref="AG148">_xlfn.IFS(COUNTIF(Table14623576[[#This Row],[Perturbateur Endocrinien]],"*X*"), 20, TRUE, "")</f>
        <v/>
      </c>
      <c r="AH148" s="30" t="str" cm="1">
        <f t="array" ref="AH148">_xlfn.IFS(COUNTIF(Table14623576[[#This Row],[Phrases H]],"*H350*"), 20, TRUE, "")</f>
        <v/>
      </c>
      <c r="AI148" s="30" cm="1">
        <f t="array" ref="AI148">_xlfn.IFS(COUNTIF(Table14623576[[#This Row],[Phrases H]],"*H360*"), 20, TRUE, "")</f>
        <v>20</v>
      </c>
      <c r="AJ148" s="30" t="str" cm="1">
        <f t="array" ref="AJ148">_xlfn.IFS(COUNTIF(Table14623576[[#This Row],[Phrases H]],"*H340*"), 20, TRUE, "")</f>
        <v/>
      </c>
      <c r="AK148" s="30" t="str" cm="1">
        <f t="array" ref="AK148">_xlfn.IFS(COUNTIF(Table14623576[[#This Row],[Phrases H]],"*H351*"), 10, TRUE, "")</f>
        <v/>
      </c>
      <c r="AL148" s="30" t="str" cm="1">
        <f t="array" ref="AL148">_xlfn.IFS(COUNTIF(Table14623576[[#This Row],[Phrases H]],"*H361*"), 10, TRUE, "")</f>
        <v/>
      </c>
      <c r="AM148" s="30" t="str" cm="1">
        <f t="array" ref="AM148">_xlfn.IFS(COUNTIF(Table14623576[[#This Row],[Phrases H]],"*H362*"), 10, TRUE, "")</f>
        <v/>
      </c>
      <c r="AN148" s="30" t="str" cm="1">
        <f t="array" ref="AN148">_xlfn.IFS(COUNTIF(Table14623576[[#This Row],[Phrases H]],"*H341*"), 10, TRUE, "")</f>
        <v/>
      </c>
      <c r="AO148" s="30" t="str" cm="1">
        <f t="array" ref="AO148">_xlfn.IFS(COUNTIF(Table14623576[[#This Row],[Phrases H]],"*H372*"), 10, TRUE, "")</f>
        <v/>
      </c>
      <c r="AP148" s="30" t="str" cm="1">
        <f t="array" ref="AP148">_xlfn.IFS(COUNTIF(Table14623576[[#This Row],[Phrases H]],"*H410*"), 10, TRUE, "")</f>
        <v/>
      </c>
      <c r="AQ148" s="30" t="str" cm="1">
        <f t="array" ref="AQ148">_xlfn.IFS(COUNTIF(Table14623576[[#This Row],[Phrases H]],"*H373*"), 5, TRUE, "")</f>
        <v/>
      </c>
      <c r="AR148" s="30" t="str" cm="1">
        <f t="array" ref="AR148">_xlfn.IFS(COUNTIF(Table14623576[[#This Row],[Phrases H]],"*H411*"), 5, TRUE, "")</f>
        <v/>
      </c>
      <c r="AS148" s="112">
        <f t="shared" si="88"/>
        <v>20</v>
      </c>
      <c r="AT148" s="144" t="s">
        <v>1730</v>
      </c>
      <c r="AU148" s="144" t="s">
        <v>1711</v>
      </c>
      <c r="AV148" s="114">
        <f t="shared" si="76"/>
        <v>50</v>
      </c>
      <c r="AW148" s="115" t="str">
        <f t="shared" ref="AW148:AW156" si="95">IF(AT148="0","0",IF(AT148&lt;2,"20",IF(AT148&lt;3,"10","0")))</f>
        <v>0</v>
      </c>
      <c r="AX148" s="116">
        <f t="shared" si="77"/>
        <v>20</v>
      </c>
      <c r="AY148" s="117">
        <f t="shared" si="78"/>
        <v>0.23529411764705882</v>
      </c>
      <c r="AZ148" s="118" t="str">
        <f t="shared" si="89"/>
        <v>4</v>
      </c>
      <c r="BA148" s="119" t="str">
        <f t="shared" si="79"/>
        <v>4</v>
      </c>
      <c r="BB148" s="145"/>
      <c r="BC148" s="144" t="s">
        <v>88</v>
      </c>
      <c r="BD148" s="113" t="s">
        <v>97</v>
      </c>
      <c r="BE148" s="120">
        <f t="shared" si="92"/>
        <v>0</v>
      </c>
      <c r="BF148" s="121" t="str">
        <f t="shared" si="90"/>
        <v>N/A</v>
      </c>
      <c r="BG148" s="122" t="str">
        <f t="shared" si="91"/>
        <v>E</v>
      </c>
      <c r="BH148" s="145"/>
      <c r="BI148" s="7"/>
      <c r="BJ148" s="130">
        <v>0</v>
      </c>
      <c r="BK148" s="7"/>
      <c r="BL148" s="131">
        <v>0</v>
      </c>
      <c r="BM148" s="132" t="s">
        <v>99</v>
      </c>
      <c r="BN148"/>
      <c r="BO148" s="60" t="str">
        <f t="shared" si="94"/>
        <v>Catégorie 4E NON</v>
      </c>
      <c r="BP148"/>
      <c r="BQ148" s="42" t="s">
        <v>88</v>
      </c>
      <c r="BR148"/>
      <c r="BS148" s="187" t="str">
        <f t="shared" si="80"/>
        <v/>
      </c>
      <c r="BT148" s="19" t="str">
        <f t="shared" si="81"/>
        <v/>
      </c>
      <c r="BU148" s="19" t="str">
        <f t="shared" si="82"/>
        <v/>
      </c>
      <c r="BV148" s="10"/>
      <c r="BW148" s="5" t="str">
        <f t="shared" si="83"/>
        <v>X</v>
      </c>
      <c r="BX148" s="5" t="str">
        <f t="shared" si="84"/>
        <v/>
      </c>
      <c r="BY148"/>
      <c r="BZ148" s="5" t="str">
        <f t="shared" si="85"/>
        <v/>
      </c>
      <c r="CA148" s="5" t="str">
        <f t="shared" si="86"/>
        <v/>
      </c>
      <c r="CB148" s="188" t="str">
        <f t="shared" si="87"/>
        <v/>
      </c>
    </row>
    <row r="149" spans="1:80" s="27" customFormat="1" ht="30" customHeight="1" x14ac:dyDescent="0.55000000000000004">
      <c r="A149" s="154">
        <v>11</v>
      </c>
      <c r="B149" s="104" t="s">
        <v>1607</v>
      </c>
      <c r="C149" s="154" t="s">
        <v>1732</v>
      </c>
      <c r="D149" s="154" t="s">
        <v>1733</v>
      </c>
      <c r="E149" s="154" t="s">
        <v>1734</v>
      </c>
      <c r="F149" s="154" t="s">
        <v>1735</v>
      </c>
      <c r="G149" s="154" t="s">
        <v>1612</v>
      </c>
      <c r="H149" s="141" t="s">
        <v>1736</v>
      </c>
      <c r="I149" s="104"/>
      <c r="J149" s="104"/>
      <c r="K149" s="142" t="s">
        <v>88</v>
      </c>
      <c r="L149" s="142"/>
      <c r="M149" s="142"/>
      <c r="N149" s="142" t="s">
        <v>85</v>
      </c>
      <c r="O149" s="142" t="s">
        <v>85</v>
      </c>
      <c r="P149" s="142" t="s">
        <v>85</v>
      </c>
      <c r="Q149" s="142"/>
      <c r="R149" s="142"/>
      <c r="S149" s="142" t="s">
        <v>88</v>
      </c>
      <c r="T149" s="142"/>
      <c r="U149" s="142" t="s">
        <v>108</v>
      </c>
      <c r="V149" s="142" t="s">
        <v>88</v>
      </c>
      <c r="W149" s="147" t="s">
        <v>1737</v>
      </c>
      <c r="X149" s="104" t="s">
        <v>1738</v>
      </c>
      <c r="Y149" s="104" t="s">
        <v>1739</v>
      </c>
      <c r="Z149" s="104" t="s">
        <v>1740</v>
      </c>
      <c r="AA149" s="104"/>
      <c r="AB149" s="104" t="s">
        <v>1741</v>
      </c>
      <c r="AC149" s="104" t="s">
        <v>1742</v>
      </c>
      <c r="AD149" s="104" t="s">
        <v>1743</v>
      </c>
      <c r="AE149" s="1"/>
      <c r="AF149" s="30" t="str" cm="1">
        <f t="array" ref="AF149">_xlfn.IFS(COUNTIF(Table14623576[[#This Row],[PBT/ vPvB]],"*X*"), 20, TRUE, "")</f>
        <v/>
      </c>
      <c r="AG149" s="30" t="str" cm="1">
        <f t="array" ref="AG149">_xlfn.IFS(COUNTIF(Table14623576[[#This Row],[Perturbateur Endocrinien]],"*X*"), 20, TRUE, "")</f>
        <v/>
      </c>
      <c r="AH149" s="30" t="str" cm="1">
        <f t="array" ref="AH149">_xlfn.IFS(COUNTIF(Table14623576[[#This Row],[Phrases H]],"*H350*"), 20, TRUE, "")</f>
        <v/>
      </c>
      <c r="AI149" s="30" t="str" cm="1">
        <f t="array" ref="AI149">_xlfn.IFS(COUNTIF(Table14623576[[#This Row],[Phrases H]],"*H360*"), 20, TRUE, "")</f>
        <v/>
      </c>
      <c r="AJ149" s="30" t="str" cm="1">
        <f t="array" ref="AJ149">_xlfn.IFS(COUNTIF(Table14623576[[#This Row],[Phrases H]],"*H340*"), 20, TRUE, "")</f>
        <v/>
      </c>
      <c r="AK149" s="30" t="str" cm="1">
        <f t="array" ref="AK149">_xlfn.IFS(COUNTIF(Table14623576[[#This Row],[Phrases H]],"*H351*"), 10, TRUE, "")</f>
        <v/>
      </c>
      <c r="AL149" s="30" t="str" cm="1">
        <f t="array" ref="AL149">_xlfn.IFS(COUNTIF(Table14623576[[#This Row],[Phrases H]],"*H361*"), 10, TRUE, "")</f>
        <v/>
      </c>
      <c r="AM149" s="30" t="str" cm="1">
        <f t="array" ref="AM149">_xlfn.IFS(COUNTIF(Table14623576[[#This Row],[Phrases H]],"*H362*"), 10, TRUE, "")</f>
        <v/>
      </c>
      <c r="AN149" s="30" t="str" cm="1">
        <f t="array" ref="AN149">_xlfn.IFS(COUNTIF(Table14623576[[#This Row],[Phrases H]],"*H341*"), 10, TRUE, "")</f>
        <v/>
      </c>
      <c r="AO149" s="30" t="str" cm="1">
        <f t="array" ref="AO149">_xlfn.IFS(COUNTIF(Table14623576[[#This Row],[Phrases H]],"*H372*"), 10, TRUE, "")</f>
        <v/>
      </c>
      <c r="AP149" s="30" t="str" cm="1">
        <f t="array" ref="AP149">_xlfn.IFS(COUNTIF(Table14623576[[#This Row],[Phrases H]],"*H410*"), 10, TRUE, "")</f>
        <v/>
      </c>
      <c r="AQ149" s="30" t="str" cm="1">
        <f t="array" ref="AQ149">_xlfn.IFS(COUNTIF(Table14623576[[#This Row],[Phrases H]],"*H373*"), 5, TRUE, "")</f>
        <v/>
      </c>
      <c r="AR149" s="30" t="str" cm="1">
        <f t="array" ref="AR149">_xlfn.IFS(COUNTIF(Table14623576[[#This Row],[Phrases H]],"*H411*"), 5, TRUE, "")</f>
        <v/>
      </c>
      <c r="AS149" s="112">
        <f t="shared" si="88"/>
        <v>0</v>
      </c>
      <c r="AT149" s="144" t="s">
        <v>1741</v>
      </c>
      <c r="AU149" s="144" t="s">
        <v>1737</v>
      </c>
      <c r="AV149" s="114">
        <f t="shared" si="76"/>
        <v>50</v>
      </c>
      <c r="AW149" s="115" t="str">
        <f t="shared" si="95"/>
        <v>0</v>
      </c>
      <c r="AX149" s="116">
        <f t="shared" si="77"/>
        <v>0</v>
      </c>
      <c r="AY149" s="117">
        <f t="shared" si="78"/>
        <v>0</v>
      </c>
      <c r="AZ149" s="118" t="str">
        <f t="shared" si="89"/>
        <v>5</v>
      </c>
      <c r="BA149" s="119" t="str">
        <f t="shared" si="79"/>
        <v>5</v>
      </c>
      <c r="BB149" s="145"/>
      <c r="BC149" s="144" t="s">
        <v>88</v>
      </c>
      <c r="BD149" s="113" t="s">
        <v>97</v>
      </c>
      <c r="BE149" s="120">
        <f t="shared" si="92"/>
        <v>0</v>
      </c>
      <c r="BF149" s="121" t="str">
        <f t="shared" si="90"/>
        <v>N/A</v>
      </c>
      <c r="BG149" s="122" t="str">
        <f t="shared" si="91"/>
        <v>E</v>
      </c>
      <c r="BH149" s="145"/>
      <c r="BI149" s="7" t="s">
        <v>1623</v>
      </c>
      <c r="BJ149" s="130">
        <v>2</v>
      </c>
      <c r="BK149" s="7" t="s">
        <v>1623</v>
      </c>
      <c r="BL149" s="131">
        <v>2</v>
      </c>
      <c r="BM149" s="132" t="s">
        <v>131</v>
      </c>
      <c r="BN149"/>
      <c r="BO149" s="60" t="str">
        <f t="shared" si="94"/>
        <v>Catégorie 5E OUI</v>
      </c>
      <c r="BP149"/>
      <c r="BQ149" s="42" t="s">
        <v>1466</v>
      </c>
      <c r="BR149"/>
      <c r="BS149" s="187" t="str">
        <f t="shared" si="80"/>
        <v/>
      </c>
      <c r="BT149" s="19" t="str">
        <f t="shared" si="81"/>
        <v/>
      </c>
      <c r="BU149" s="19" t="str">
        <f t="shared" si="82"/>
        <v/>
      </c>
      <c r="BV149" s="10"/>
      <c r="BW149" s="5" t="str">
        <f t="shared" si="83"/>
        <v>X</v>
      </c>
      <c r="BX149" s="5" t="str">
        <f t="shared" si="84"/>
        <v>X</v>
      </c>
      <c r="BY149"/>
      <c r="BZ149" s="5" t="str">
        <f t="shared" si="85"/>
        <v>X</v>
      </c>
      <c r="CA149" s="5" t="str">
        <f t="shared" si="86"/>
        <v>X</v>
      </c>
      <c r="CB149" s="188" t="str">
        <f t="shared" si="87"/>
        <v>X</v>
      </c>
    </row>
    <row r="150" spans="1:80" s="27" customFormat="1" ht="30" customHeight="1" x14ac:dyDescent="0.55000000000000004">
      <c r="A150" s="154">
        <v>12</v>
      </c>
      <c r="B150" s="104" t="s">
        <v>1607</v>
      </c>
      <c r="C150" s="154" t="s">
        <v>1744</v>
      </c>
      <c r="D150" s="154" t="s">
        <v>1745</v>
      </c>
      <c r="E150" s="154" t="s">
        <v>1746</v>
      </c>
      <c r="F150" s="154" t="s">
        <v>1747</v>
      </c>
      <c r="G150" s="154" t="s">
        <v>1748</v>
      </c>
      <c r="H150" s="154" t="s">
        <v>1749</v>
      </c>
      <c r="I150" s="104"/>
      <c r="J150" s="104"/>
      <c r="K150" s="142" t="s">
        <v>1508</v>
      </c>
      <c r="L150" s="142"/>
      <c r="M150" s="142"/>
      <c r="N150" s="142" t="s">
        <v>85</v>
      </c>
      <c r="O150" s="142" t="s">
        <v>85</v>
      </c>
      <c r="P150" s="142" t="s">
        <v>85</v>
      </c>
      <c r="Q150" s="142"/>
      <c r="R150" s="142"/>
      <c r="S150" s="142" t="s">
        <v>1615</v>
      </c>
      <c r="T150" s="142"/>
      <c r="U150" s="142" t="s">
        <v>108</v>
      </c>
      <c r="V150" s="142" t="s">
        <v>122</v>
      </c>
      <c r="W150" s="142" t="s">
        <v>1750</v>
      </c>
      <c r="X150" s="104">
        <v>0</v>
      </c>
      <c r="Y150" s="104" t="s">
        <v>1751</v>
      </c>
      <c r="Z150" s="104" t="s">
        <v>1752</v>
      </c>
      <c r="AA150" s="104"/>
      <c r="AB150" s="104" t="s">
        <v>1753</v>
      </c>
      <c r="AC150" s="104" t="s">
        <v>1754</v>
      </c>
      <c r="AD150" s="104" t="s">
        <v>1755</v>
      </c>
      <c r="AE150" s="1"/>
      <c r="AF150" s="30" t="str" cm="1">
        <f t="array" ref="AF150">_xlfn.IFS(COUNTIF(Table14623576[[#This Row],[PBT/ vPvB]],"*X*"), 20, TRUE, "")</f>
        <v/>
      </c>
      <c r="AG150" s="30" t="str" cm="1">
        <f t="array" ref="AG150">_xlfn.IFS(COUNTIF(Table14623576[[#This Row],[Perturbateur Endocrinien]],"*X*"), 20, TRUE, "")</f>
        <v/>
      </c>
      <c r="AH150" s="30" t="str" cm="1">
        <f t="array" ref="AH150">_xlfn.IFS(COUNTIF(Table14623576[[#This Row],[Phrases H]],"*H350*"), 20, TRUE, "")</f>
        <v/>
      </c>
      <c r="AI150" s="30" t="str" cm="1">
        <f t="array" ref="AI150">_xlfn.IFS(COUNTIF(Table14623576[[#This Row],[Phrases H]],"*H360*"), 20, TRUE, "")</f>
        <v/>
      </c>
      <c r="AJ150" s="30" t="str" cm="1">
        <f t="array" ref="AJ150">_xlfn.IFS(COUNTIF(Table14623576[[#This Row],[Phrases H]],"*H340*"), 20, TRUE, "")</f>
        <v/>
      </c>
      <c r="AK150" s="30" t="str" cm="1">
        <f t="array" ref="AK150">_xlfn.IFS(COUNTIF(Table14623576[[#This Row],[Phrases H]],"*H351*"), 10, TRUE, "")</f>
        <v/>
      </c>
      <c r="AL150" s="30" t="str" cm="1">
        <f t="array" ref="AL150">_xlfn.IFS(COUNTIF(Table14623576[[#This Row],[Phrases H]],"*H361*"), 10, TRUE, "")</f>
        <v/>
      </c>
      <c r="AM150" s="30" t="str" cm="1">
        <f t="array" ref="AM150">_xlfn.IFS(COUNTIF(Table14623576[[#This Row],[Phrases H]],"*H362*"), 10, TRUE, "")</f>
        <v/>
      </c>
      <c r="AN150" s="30" t="str" cm="1">
        <f t="array" ref="AN150">_xlfn.IFS(COUNTIF(Table14623576[[#This Row],[Phrases H]],"*H341*"), 10, TRUE, "")</f>
        <v/>
      </c>
      <c r="AO150" s="30" t="str" cm="1">
        <f t="array" ref="AO150">_xlfn.IFS(COUNTIF(Table14623576[[#This Row],[Phrases H]],"*H372*"), 10, TRUE, "")</f>
        <v/>
      </c>
      <c r="AP150" s="30" t="str" cm="1">
        <f t="array" ref="AP150">_xlfn.IFS(COUNTIF(Table14623576[[#This Row],[Phrases H]],"*H410*"), 10, TRUE, "")</f>
        <v/>
      </c>
      <c r="AQ150" s="30" t="str" cm="1">
        <f t="array" ref="AQ150">_xlfn.IFS(COUNTIF(Table14623576[[#This Row],[Phrases H]],"*H373*"), 5, TRUE, "")</f>
        <v/>
      </c>
      <c r="AR150" s="30" t="str" cm="1">
        <f t="array" ref="AR150">_xlfn.IFS(COUNTIF(Table14623576[[#This Row],[Phrases H]],"*H411*"), 5, TRUE, "")</f>
        <v/>
      </c>
      <c r="AS150" s="112">
        <f t="shared" si="88"/>
        <v>0</v>
      </c>
      <c r="AT150" s="144" t="s">
        <v>1753</v>
      </c>
      <c r="AU150" s="144" t="s">
        <v>1750</v>
      </c>
      <c r="AV150" s="114">
        <f t="shared" si="76"/>
        <v>50</v>
      </c>
      <c r="AW150" s="115" t="str">
        <f t="shared" si="95"/>
        <v>0</v>
      </c>
      <c r="AX150" s="116">
        <f t="shared" si="77"/>
        <v>0</v>
      </c>
      <c r="AY150" s="117">
        <f t="shared" si="78"/>
        <v>0</v>
      </c>
      <c r="AZ150" s="118" t="str">
        <f t="shared" si="89"/>
        <v>5</v>
      </c>
      <c r="BA150" s="119" t="str">
        <f t="shared" si="79"/>
        <v>5</v>
      </c>
      <c r="BB150" s="145"/>
      <c r="BC150" s="144">
        <v>100000</v>
      </c>
      <c r="BD150" s="113" t="s">
        <v>97</v>
      </c>
      <c r="BE150" s="120">
        <f t="shared" si="92"/>
        <v>25</v>
      </c>
      <c r="BF150" s="121" t="str">
        <f t="shared" si="90"/>
        <v>Production très élevée</v>
      </c>
      <c r="BG150" s="122" t="str">
        <f t="shared" si="91"/>
        <v>A</v>
      </c>
      <c r="BH150" s="145"/>
      <c r="BI150" s="7"/>
      <c r="BJ150" s="130">
        <v>0</v>
      </c>
      <c r="BK150" s="7"/>
      <c r="BL150" s="131">
        <v>0</v>
      </c>
      <c r="BM150" s="132" t="s">
        <v>99</v>
      </c>
      <c r="BN150"/>
      <c r="BO150" s="60" t="str">
        <f t="shared" si="94"/>
        <v>Catégorie 5A NON</v>
      </c>
      <c r="BP150"/>
      <c r="BQ150" s="42" t="s">
        <v>164</v>
      </c>
      <c r="BR150"/>
      <c r="BS150" s="187" t="str">
        <f t="shared" si="80"/>
        <v/>
      </c>
      <c r="BT150" s="19" t="str">
        <f t="shared" si="81"/>
        <v/>
      </c>
      <c r="BU150" s="19" t="str">
        <f t="shared" si="82"/>
        <v/>
      </c>
      <c r="BV150" s="10"/>
      <c r="BW150" s="5" t="str">
        <f t="shared" si="83"/>
        <v/>
      </c>
      <c r="BX150" s="5" t="str">
        <f t="shared" si="84"/>
        <v/>
      </c>
      <c r="BY150"/>
      <c r="BZ150" s="5" t="str">
        <f t="shared" si="85"/>
        <v/>
      </c>
      <c r="CA150" s="5" t="str">
        <f t="shared" si="86"/>
        <v/>
      </c>
      <c r="CB150" s="188" t="str">
        <f t="shared" si="87"/>
        <v/>
      </c>
    </row>
    <row r="151" spans="1:80" s="27" customFormat="1" ht="30" customHeight="1" x14ac:dyDescent="0.55000000000000004">
      <c r="A151" s="154">
        <v>13</v>
      </c>
      <c r="B151" s="104" t="s">
        <v>1607</v>
      </c>
      <c r="C151" s="154" t="s">
        <v>1756</v>
      </c>
      <c r="D151" s="154" t="s">
        <v>1757</v>
      </c>
      <c r="E151" s="154" t="s">
        <v>1758</v>
      </c>
      <c r="F151" s="154" t="s">
        <v>1759</v>
      </c>
      <c r="G151" s="154" t="s">
        <v>1760</v>
      </c>
      <c r="H151" s="141" t="s">
        <v>1761</v>
      </c>
      <c r="I151" s="104"/>
      <c r="J151" s="104"/>
      <c r="K151" s="142" t="s">
        <v>1762</v>
      </c>
      <c r="L151" s="142"/>
      <c r="M151" s="142"/>
      <c r="N151" s="142" t="s">
        <v>85</v>
      </c>
      <c r="O151" s="142" t="s">
        <v>85</v>
      </c>
      <c r="P151" s="142" t="s">
        <v>85</v>
      </c>
      <c r="Q151" s="142"/>
      <c r="R151" s="142"/>
      <c r="S151" s="142" t="s">
        <v>1615</v>
      </c>
      <c r="T151" s="142"/>
      <c r="U151" s="142" t="s">
        <v>108</v>
      </c>
      <c r="V151" s="142" t="s">
        <v>88</v>
      </c>
      <c r="W151" s="147" t="s">
        <v>1683</v>
      </c>
      <c r="X151" s="104" t="s">
        <v>1763</v>
      </c>
      <c r="Y151" s="104" t="s">
        <v>1764</v>
      </c>
      <c r="Z151" s="104" t="s">
        <v>1765</v>
      </c>
      <c r="AA151" s="104"/>
      <c r="AB151" s="104" t="s">
        <v>1766</v>
      </c>
      <c r="AC151" s="104" t="s">
        <v>1767</v>
      </c>
      <c r="AD151" s="104" t="s">
        <v>1768</v>
      </c>
      <c r="AE151" s="1"/>
      <c r="AF151" s="30" t="str" cm="1">
        <f t="array" ref="AF151">_xlfn.IFS(COUNTIF(Table14623576[[#This Row],[PBT/ vPvB]],"*X*"), 20, TRUE, "")</f>
        <v/>
      </c>
      <c r="AG151" s="30" t="str" cm="1">
        <f t="array" ref="AG151">_xlfn.IFS(COUNTIF(Table14623576[[#This Row],[Perturbateur Endocrinien]],"*X*"), 20, TRUE, "")</f>
        <v/>
      </c>
      <c r="AH151" s="30" t="str" cm="1">
        <f t="array" ref="AH151">_xlfn.IFS(COUNTIF(Table14623576[[#This Row],[Phrases H]],"*H350*"), 20, TRUE, "")</f>
        <v/>
      </c>
      <c r="AI151" s="30" t="str" cm="1">
        <f t="array" ref="AI151">_xlfn.IFS(COUNTIF(Table14623576[[#This Row],[Phrases H]],"*H360*"), 20, TRUE, "")</f>
        <v/>
      </c>
      <c r="AJ151" s="30" t="str" cm="1">
        <f t="array" ref="AJ151">_xlfn.IFS(COUNTIF(Table14623576[[#This Row],[Phrases H]],"*H340*"), 20, TRUE, "")</f>
        <v/>
      </c>
      <c r="AK151" s="30" t="str" cm="1">
        <f t="array" ref="AK151">_xlfn.IFS(COUNTIF(Table14623576[[#This Row],[Phrases H]],"*H351*"), 10, TRUE, "")</f>
        <v/>
      </c>
      <c r="AL151" s="30" t="str" cm="1">
        <f t="array" ref="AL151">_xlfn.IFS(COUNTIF(Table14623576[[#This Row],[Phrases H]],"*H361*"), 10, TRUE, "")</f>
        <v/>
      </c>
      <c r="AM151" s="30" t="str" cm="1">
        <f t="array" ref="AM151">_xlfn.IFS(COUNTIF(Table14623576[[#This Row],[Phrases H]],"*H362*"), 10, TRUE, "")</f>
        <v/>
      </c>
      <c r="AN151" s="30" t="str" cm="1">
        <f t="array" ref="AN151">_xlfn.IFS(COUNTIF(Table14623576[[#This Row],[Phrases H]],"*H341*"), 10, TRUE, "")</f>
        <v/>
      </c>
      <c r="AO151" s="30" t="str" cm="1">
        <f t="array" ref="AO151">_xlfn.IFS(COUNTIF(Table14623576[[#This Row],[Phrases H]],"*H372*"), 10, TRUE, "")</f>
        <v/>
      </c>
      <c r="AP151" s="30" t="str" cm="1">
        <f t="array" ref="AP151">_xlfn.IFS(COUNTIF(Table14623576[[#This Row],[Phrases H]],"*H410*"), 10, TRUE, "")</f>
        <v/>
      </c>
      <c r="AQ151" s="30" t="str" cm="1">
        <f t="array" ref="AQ151">_xlfn.IFS(COUNTIF(Table14623576[[#This Row],[Phrases H]],"*H373*"), 5, TRUE, "")</f>
        <v/>
      </c>
      <c r="AR151" s="30" t="str" cm="1">
        <f t="array" ref="AR151">_xlfn.IFS(COUNTIF(Table14623576[[#This Row],[Phrases H]],"*H411*"), 5, TRUE, "")</f>
        <v/>
      </c>
      <c r="AS151" s="112">
        <f t="shared" si="88"/>
        <v>0</v>
      </c>
      <c r="AT151" s="144" t="s">
        <v>1766</v>
      </c>
      <c r="AU151" s="144" t="s">
        <v>1683</v>
      </c>
      <c r="AV151" s="114">
        <f t="shared" si="76"/>
        <v>50</v>
      </c>
      <c r="AW151" s="115" t="str">
        <f t="shared" si="95"/>
        <v>0</v>
      </c>
      <c r="AX151" s="116">
        <f t="shared" si="77"/>
        <v>0</v>
      </c>
      <c r="AY151" s="117">
        <f t="shared" si="78"/>
        <v>0</v>
      </c>
      <c r="AZ151" s="118" t="str">
        <f t="shared" si="89"/>
        <v>5</v>
      </c>
      <c r="BA151" s="119" t="str">
        <f t="shared" si="79"/>
        <v>5</v>
      </c>
      <c r="BB151" s="145"/>
      <c r="BC151" s="144">
        <v>1000000</v>
      </c>
      <c r="BD151" s="113" t="s">
        <v>97</v>
      </c>
      <c r="BE151" s="120">
        <f t="shared" si="92"/>
        <v>25</v>
      </c>
      <c r="BF151" s="121" t="str">
        <f t="shared" si="90"/>
        <v>Production très élevée</v>
      </c>
      <c r="BG151" s="122" t="str">
        <f t="shared" si="91"/>
        <v>A</v>
      </c>
      <c r="BH151" s="145"/>
      <c r="BI151" s="7"/>
      <c r="BJ151" s="130">
        <v>0</v>
      </c>
      <c r="BK151" s="7"/>
      <c r="BL151" s="131">
        <v>0</v>
      </c>
      <c r="BM151" s="132" t="s">
        <v>99</v>
      </c>
      <c r="BN151"/>
      <c r="BO151" s="60" t="str">
        <f t="shared" si="94"/>
        <v>Catégorie 5A NON</v>
      </c>
      <c r="BP151"/>
      <c r="BQ151" s="42" t="s">
        <v>88</v>
      </c>
      <c r="BR151"/>
      <c r="BS151" s="187" t="str">
        <f t="shared" si="80"/>
        <v/>
      </c>
      <c r="BT151" s="19" t="str">
        <f t="shared" si="81"/>
        <v/>
      </c>
      <c r="BU151" s="19" t="str">
        <f t="shared" si="82"/>
        <v/>
      </c>
      <c r="BV151" s="10"/>
      <c r="BW151" s="5" t="str">
        <f t="shared" si="83"/>
        <v/>
      </c>
      <c r="BX151" s="5" t="str">
        <f t="shared" si="84"/>
        <v/>
      </c>
      <c r="BY151"/>
      <c r="BZ151" s="5" t="str">
        <f t="shared" si="85"/>
        <v/>
      </c>
      <c r="CA151" s="5" t="str">
        <f t="shared" si="86"/>
        <v/>
      </c>
      <c r="CB151" s="188" t="str">
        <f t="shared" si="87"/>
        <v/>
      </c>
    </row>
    <row r="152" spans="1:80" s="27" customFormat="1" ht="30" customHeight="1" x14ac:dyDescent="0.55000000000000004">
      <c r="A152" s="154">
        <v>14</v>
      </c>
      <c r="B152" s="104" t="s">
        <v>1607</v>
      </c>
      <c r="C152" s="154" t="s">
        <v>1769</v>
      </c>
      <c r="D152" s="154" t="s">
        <v>1770</v>
      </c>
      <c r="E152" s="154" t="s">
        <v>1771</v>
      </c>
      <c r="F152" s="154" t="s">
        <v>1772</v>
      </c>
      <c r="G152" s="141" t="s">
        <v>1760</v>
      </c>
      <c r="H152" s="141" t="s">
        <v>1773</v>
      </c>
      <c r="I152" s="104"/>
      <c r="J152" s="104"/>
      <c r="K152" s="142" t="s">
        <v>1774</v>
      </c>
      <c r="L152" s="142"/>
      <c r="M152" s="142"/>
      <c r="N152" s="142"/>
      <c r="O152" s="142"/>
      <c r="P152" s="142"/>
      <c r="Q152" s="142"/>
      <c r="R152" s="142"/>
      <c r="S152" s="142" t="s">
        <v>1615</v>
      </c>
      <c r="T152" s="142" t="s">
        <v>85</v>
      </c>
      <c r="U152" s="142" t="s">
        <v>108</v>
      </c>
      <c r="V152" s="142" t="s">
        <v>88</v>
      </c>
      <c r="W152" s="142" t="s">
        <v>1775</v>
      </c>
      <c r="X152" s="104">
        <v>0</v>
      </c>
      <c r="Y152" s="104" t="s">
        <v>1776</v>
      </c>
      <c r="Z152" s="104" t="s">
        <v>1765</v>
      </c>
      <c r="AA152" s="104"/>
      <c r="AB152" s="104" t="s">
        <v>1741</v>
      </c>
      <c r="AC152" s="104" t="s">
        <v>1777</v>
      </c>
      <c r="AD152" s="104" t="s">
        <v>1778</v>
      </c>
      <c r="AE152" s="1"/>
      <c r="AF152" s="30" t="str" cm="1">
        <f t="array" ref="AF152">_xlfn.IFS(COUNTIF(Table14623576[[#This Row],[PBT/ vPvB]],"*X*"), 20, TRUE, "")</f>
        <v/>
      </c>
      <c r="AG152" s="30" cm="1">
        <f t="array" ref="AG152">_xlfn.IFS(COUNTIF(Table14623576[[#This Row],[Perturbateur Endocrinien]],"*X*"), 20, TRUE, "")</f>
        <v>20</v>
      </c>
      <c r="AH152" s="30" t="str" cm="1">
        <f t="array" ref="AH152">_xlfn.IFS(COUNTIF(Table14623576[[#This Row],[Phrases H]],"*H350*"), 20, TRUE, "")</f>
        <v/>
      </c>
      <c r="AI152" s="30" t="str" cm="1">
        <f t="array" ref="AI152">_xlfn.IFS(COUNTIF(Table14623576[[#This Row],[Phrases H]],"*H360*"), 20, TRUE, "")</f>
        <v/>
      </c>
      <c r="AJ152" s="30" t="str" cm="1">
        <f t="array" ref="AJ152">_xlfn.IFS(COUNTIF(Table14623576[[#This Row],[Phrases H]],"*H340*"), 20, TRUE, "")</f>
        <v/>
      </c>
      <c r="AK152" s="30" t="str" cm="1">
        <f t="array" ref="AK152">_xlfn.IFS(COUNTIF(Table14623576[[#This Row],[Phrases H]],"*H351*"), 10, TRUE, "")</f>
        <v/>
      </c>
      <c r="AL152" s="30" t="str" cm="1">
        <f t="array" ref="AL152">_xlfn.IFS(COUNTIF(Table14623576[[#This Row],[Phrases H]],"*H361*"), 10, TRUE, "")</f>
        <v/>
      </c>
      <c r="AM152" s="30" t="str" cm="1">
        <f t="array" ref="AM152">_xlfn.IFS(COUNTIF(Table14623576[[#This Row],[Phrases H]],"*H362*"), 10, TRUE, "")</f>
        <v/>
      </c>
      <c r="AN152" s="30" t="str" cm="1">
        <f t="array" ref="AN152">_xlfn.IFS(COUNTIF(Table14623576[[#This Row],[Phrases H]],"*H341*"), 10, TRUE, "")</f>
        <v/>
      </c>
      <c r="AO152" s="30" t="str" cm="1">
        <f t="array" ref="AO152">_xlfn.IFS(COUNTIF(Table14623576[[#This Row],[Phrases H]],"*H372*"), 10, TRUE, "")</f>
        <v/>
      </c>
      <c r="AP152" s="30" t="str" cm="1">
        <f t="array" ref="AP152">_xlfn.IFS(COUNTIF(Table14623576[[#This Row],[Phrases H]],"*H410*"), 10, TRUE, "")</f>
        <v/>
      </c>
      <c r="AQ152" s="30" t="str" cm="1">
        <f t="array" ref="AQ152">_xlfn.IFS(COUNTIF(Table14623576[[#This Row],[Phrases H]],"*H373*"), 5, TRUE, "")</f>
        <v/>
      </c>
      <c r="AR152" s="30" t="str" cm="1">
        <f t="array" ref="AR152">_xlfn.IFS(COUNTIF(Table14623576[[#This Row],[Phrases H]],"*H411*"), 5, TRUE, "")</f>
        <v/>
      </c>
      <c r="AS152" s="112">
        <f t="shared" si="88"/>
        <v>20</v>
      </c>
      <c r="AT152" s="144" t="s">
        <v>1741</v>
      </c>
      <c r="AU152" s="144" t="s">
        <v>1775</v>
      </c>
      <c r="AV152" s="114">
        <f t="shared" si="76"/>
        <v>50</v>
      </c>
      <c r="AW152" s="115" t="str">
        <f t="shared" si="95"/>
        <v>0</v>
      </c>
      <c r="AX152" s="116">
        <f t="shared" si="77"/>
        <v>20</v>
      </c>
      <c r="AY152" s="117">
        <f t="shared" si="78"/>
        <v>0.23529411764705882</v>
      </c>
      <c r="AZ152" s="118" t="str">
        <f t="shared" si="89"/>
        <v>4</v>
      </c>
      <c r="BA152" s="119" t="str">
        <f t="shared" si="79"/>
        <v>4</v>
      </c>
      <c r="BB152" s="145"/>
      <c r="BC152" s="144">
        <v>1000000</v>
      </c>
      <c r="BD152" s="113" t="s">
        <v>97</v>
      </c>
      <c r="BE152" s="120">
        <f t="shared" si="92"/>
        <v>25</v>
      </c>
      <c r="BF152" s="121" t="str">
        <f t="shared" si="90"/>
        <v>Production très élevée</v>
      </c>
      <c r="BG152" s="122" t="str">
        <f t="shared" si="91"/>
        <v>A</v>
      </c>
      <c r="BH152" s="145"/>
      <c r="BI152" s="7"/>
      <c r="BJ152" s="130">
        <v>0</v>
      </c>
      <c r="BK152" s="7"/>
      <c r="BL152" s="131">
        <v>0</v>
      </c>
      <c r="BM152" s="132" t="s">
        <v>99</v>
      </c>
      <c r="BN152"/>
      <c r="BO152" s="60" t="str">
        <f t="shared" si="94"/>
        <v>Catégorie 4A NON</v>
      </c>
      <c r="BP152"/>
      <c r="BQ152" s="42" t="s">
        <v>88</v>
      </c>
      <c r="BR152"/>
      <c r="BS152" s="187" t="str">
        <f t="shared" si="80"/>
        <v/>
      </c>
      <c r="BT152" s="19" t="str">
        <f t="shared" si="81"/>
        <v/>
      </c>
      <c r="BU152" s="19" t="str">
        <f t="shared" si="82"/>
        <v/>
      </c>
      <c r="BV152" s="10"/>
      <c r="BW152" s="5" t="str">
        <f t="shared" si="83"/>
        <v/>
      </c>
      <c r="BX152" s="5" t="str">
        <f t="shared" si="84"/>
        <v/>
      </c>
      <c r="BY152"/>
      <c r="BZ152" s="5" t="str">
        <f t="shared" si="85"/>
        <v/>
      </c>
      <c r="CA152" s="5" t="str">
        <f t="shared" si="86"/>
        <v/>
      </c>
      <c r="CB152" s="188" t="str">
        <f t="shared" si="87"/>
        <v/>
      </c>
    </row>
    <row r="153" spans="1:80" s="27" customFormat="1" ht="30" customHeight="1" x14ac:dyDescent="0.55000000000000004">
      <c r="A153" s="154">
        <v>15</v>
      </c>
      <c r="B153" s="104" t="s">
        <v>1607</v>
      </c>
      <c r="C153" s="154" t="s">
        <v>1779</v>
      </c>
      <c r="D153" s="154" t="s">
        <v>1691</v>
      </c>
      <c r="E153" s="154" t="s">
        <v>1780</v>
      </c>
      <c r="F153" s="154" t="s">
        <v>1781</v>
      </c>
      <c r="G153" s="154" t="s">
        <v>1707</v>
      </c>
      <c r="H153" s="141" t="s">
        <v>1782</v>
      </c>
      <c r="I153" s="104"/>
      <c r="J153" s="104"/>
      <c r="K153" s="142" t="s">
        <v>88</v>
      </c>
      <c r="L153" s="142"/>
      <c r="M153" s="142"/>
      <c r="N153" s="142"/>
      <c r="O153" s="142" t="s">
        <v>85</v>
      </c>
      <c r="P153" s="142" t="s">
        <v>85</v>
      </c>
      <c r="Q153" s="142"/>
      <c r="R153" s="142"/>
      <c r="S153" s="142" t="s">
        <v>88</v>
      </c>
      <c r="T153" s="142"/>
      <c r="U153" s="142" t="s">
        <v>1710</v>
      </c>
      <c r="V153" s="142" t="s">
        <v>88</v>
      </c>
      <c r="W153" s="147" t="s">
        <v>1783</v>
      </c>
      <c r="X153" s="104" t="s">
        <v>1784</v>
      </c>
      <c r="Y153" s="104" t="s">
        <v>1785</v>
      </c>
      <c r="Z153" s="104" t="s">
        <v>873</v>
      </c>
      <c r="AA153" s="104"/>
      <c r="AB153" s="104" t="s">
        <v>1786</v>
      </c>
      <c r="AC153" s="104" t="s">
        <v>1787</v>
      </c>
      <c r="AD153" s="104" t="s">
        <v>1224</v>
      </c>
      <c r="AE153" s="1"/>
      <c r="AF153" s="30" t="str" cm="1">
        <f t="array" ref="AF153">_xlfn.IFS(COUNTIF(Table14623576[[#This Row],[PBT/ vPvB]],"*X*"), 20, TRUE, "")</f>
        <v/>
      </c>
      <c r="AG153" s="30" t="str" cm="1">
        <f t="array" ref="AG153">_xlfn.IFS(COUNTIF(Table14623576[[#This Row],[Perturbateur Endocrinien]],"*X*"), 20, TRUE, "")</f>
        <v/>
      </c>
      <c r="AH153" s="30" t="str" cm="1">
        <f t="array" ref="AH153">_xlfn.IFS(COUNTIF(Table14623576[[#This Row],[Phrases H]],"*H350*"), 20, TRUE, "")</f>
        <v/>
      </c>
      <c r="AI153" s="30" cm="1">
        <f t="array" ref="AI153">_xlfn.IFS(COUNTIF(Table14623576[[#This Row],[Phrases H]],"*H360*"), 20, TRUE, "")</f>
        <v>20</v>
      </c>
      <c r="AJ153" s="30" t="str" cm="1">
        <f t="array" ref="AJ153">_xlfn.IFS(COUNTIF(Table14623576[[#This Row],[Phrases H]],"*H340*"), 20, TRUE, "")</f>
        <v/>
      </c>
      <c r="AK153" s="30" t="str" cm="1">
        <f t="array" ref="AK153">_xlfn.IFS(COUNTIF(Table14623576[[#This Row],[Phrases H]],"*H351*"), 10, TRUE, "")</f>
        <v/>
      </c>
      <c r="AL153" s="30" t="str" cm="1">
        <f t="array" ref="AL153">_xlfn.IFS(COUNTIF(Table14623576[[#This Row],[Phrases H]],"*H361*"), 10, TRUE, "")</f>
        <v/>
      </c>
      <c r="AM153" s="30" t="str" cm="1">
        <f t="array" ref="AM153">_xlfn.IFS(COUNTIF(Table14623576[[#This Row],[Phrases H]],"*H362*"), 10, TRUE, "")</f>
        <v/>
      </c>
      <c r="AN153" s="30" t="str" cm="1">
        <f t="array" ref="AN153">_xlfn.IFS(COUNTIF(Table14623576[[#This Row],[Phrases H]],"*H341*"), 10, TRUE, "")</f>
        <v/>
      </c>
      <c r="AO153" s="30" t="str" cm="1">
        <f t="array" ref="AO153">_xlfn.IFS(COUNTIF(Table14623576[[#This Row],[Phrases H]],"*H372*"), 10, TRUE, "")</f>
        <v/>
      </c>
      <c r="AP153" s="30" t="str" cm="1">
        <f t="array" ref="AP153">_xlfn.IFS(COUNTIF(Table14623576[[#This Row],[Phrases H]],"*H410*"), 10, TRUE, "")</f>
        <v/>
      </c>
      <c r="AQ153" s="30" t="str" cm="1">
        <f t="array" ref="AQ153">_xlfn.IFS(COUNTIF(Table14623576[[#This Row],[Phrases H]],"*H373*"), 5, TRUE, "")</f>
        <v/>
      </c>
      <c r="AR153" s="30" t="str" cm="1">
        <f t="array" ref="AR153">_xlfn.IFS(COUNTIF(Table14623576[[#This Row],[Phrases H]],"*H411*"), 5, TRUE, "")</f>
        <v/>
      </c>
      <c r="AS153" s="112">
        <f t="shared" si="88"/>
        <v>20</v>
      </c>
      <c r="AT153" s="144" t="s">
        <v>1786</v>
      </c>
      <c r="AU153" s="144" t="s">
        <v>1783</v>
      </c>
      <c r="AV153" s="114">
        <f t="shared" si="76"/>
        <v>50</v>
      </c>
      <c r="AW153" s="115" t="str">
        <f t="shared" si="95"/>
        <v>0</v>
      </c>
      <c r="AX153" s="116">
        <f t="shared" si="77"/>
        <v>20</v>
      </c>
      <c r="AY153" s="117">
        <f t="shared" si="78"/>
        <v>0.23529411764705882</v>
      </c>
      <c r="AZ153" s="118" t="str">
        <f t="shared" si="89"/>
        <v>4</v>
      </c>
      <c r="BA153" s="119" t="str">
        <f t="shared" si="79"/>
        <v>4</v>
      </c>
      <c r="BB153" s="145"/>
      <c r="BC153" s="144" t="s">
        <v>88</v>
      </c>
      <c r="BD153" s="113" t="s">
        <v>97</v>
      </c>
      <c r="BE153" s="120">
        <f t="shared" si="92"/>
        <v>0</v>
      </c>
      <c r="BF153" s="121" t="str">
        <f t="shared" si="90"/>
        <v>N/A</v>
      </c>
      <c r="BG153" s="122" t="str">
        <f t="shared" si="91"/>
        <v>E</v>
      </c>
      <c r="BH153" s="145"/>
      <c r="BI153" s="7" t="s">
        <v>231</v>
      </c>
      <c r="BJ153" s="130">
        <v>1</v>
      </c>
      <c r="BK153" s="7"/>
      <c r="BL153" s="131">
        <v>0</v>
      </c>
      <c r="BM153" s="132" t="s">
        <v>99</v>
      </c>
      <c r="BN153"/>
      <c r="BO153" s="60" t="str">
        <f t="shared" si="94"/>
        <v>Catégorie 4E NON</v>
      </c>
      <c r="BP153"/>
      <c r="BQ153" s="42" t="s">
        <v>150</v>
      </c>
      <c r="BR153"/>
      <c r="BS153" s="187" t="str">
        <f t="shared" si="80"/>
        <v/>
      </c>
      <c r="BT153" s="19" t="str">
        <f t="shared" si="81"/>
        <v/>
      </c>
      <c r="BU153" s="19" t="str">
        <f t="shared" si="82"/>
        <v/>
      </c>
      <c r="BV153" s="10"/>
      <c r="BW153" s="5" t="str">
        <f t="shared" si="83"/>
        <v>X</v>
      </c>
      <c r="BX153" s="5" t="str">
        <f t="shared" si="84"/>
        <v/>
      </c>
      <c r="BY153"/>
      <c r="BZ153" s="5" t="str">
        <f t="shared" si="85"/>
        <v/>
      </c>
      <c r="CA153" s="5" t="str">
        <f t="shared" si="86"/>
        <v/>
      </c>
      <c r="CB153" s="188" t="str">
        <f t="shared" si="87"/>
        <v/>
      </c>
    </row>
    <row r="154" spans="1:80" s="27" customFormat="1" ht="30" customHeight="1" x14ac:dyDescent="0.55000000000000004">
      <c r="A154" s="154">
        <v>16</v>
      </c>
      <c r="B154" s="104" t="s">
        <v>1607</v>
      </c>
      <c r="C154" s="154" t="s">
        <v>1788</v>
      </c>
      <c r="D154" s="154" t="s">
        <v>1789</v>
      </c>
      <c r="E154" s="154" t="s">
        <v>1790</v>
      </c>
      <c r="F154" s="154" t="s">
        <v>1791</v>
      </c>
      <c r="G154" s="154" t="s">
        <v>1792</v>
      </c>
      <c r="H154" s="141" t="s">
        <v>1793</v>
      </c>
      <c r="I154" s="104"/>
      <c r="J154" s="104"/>
      <c r="K154" s="142" t="s">
        <v>318</v>
      </c>
      <c r="L154" s="142"/>
      <c r="M154" s="142"/>
      <c r="N154" s="142"/>
      <c r="O154" s="142" t="s">
        <v>85</v>
      </c>
      <c r="P154" s="142"/>
      <c r="Q154" s="142"/>
      <c r="R154" s="142"/>
      <c r="S154" s="142" t="s">
        <v>1794</v>
      </c>
      <c r="T154" s="142" t="s">
        <v>85</v>
      </c>
      <c r="U154" s="142" t="s">
        <v>1795</v>
      </c>
      <c r="V154" s="142" t="s">
        <v>88</v>
      </c>
      <c r="W154" s="142">
        <v>1015</v>
      </c>
      <c r="X154" s="104">
        <v>0</v>
      </c>
      <c r="Y154" s="104" t="s">
        <v>1796</v>
      </c>
      <c r="Z154" s="104" t="s">
        <v>1797</v>
      </c>
      <c r="AA154" s="104"/>
      <c r="AB154" s="104" t="s">
        <v>1798</v>
      </c>
      <c r="AC154" s="104" t="s">
        <v>1799</v>
      </c>
      <c r="AD154" s="104" t="s">
        <v>1800</v>
      </c>
      <c r="AE154" s="1"/>
      <c r="AF154" s="30" t="str" cm="1">
        <f t="array" ref="AF154">_xlfn.IFS(COUNTIF(Table14623576[[#This Row],[PBT/ vPvB]],"*X*"), 20, TRUE, "")</f>
        <v/>
      </c>
      <c r="AG154" s="30" cm="1">
        <f t="array" ref="AG154">_xlfn.IFS(COUNTIF(Table14623576[[#This Row],[Perturbateur Endocrinien]],"*X*"), 20, TRUE, "")</f>
        <v>20</v>
      </c>
      <c r="AH154" s="30" t="str" cm="1">
        <f t="array" ref="AH154">_xlfn.IFS(COUNTIF(Table14623576[[#This Row],[Phrases H]],"*H350*"), 20, TRUE, "")</f>
        <v/>
      </c>
      <c r="AI154" s="30" cm="1">
        <f t="array" ref="AI154">_xlfn.IFS(COUNTIF(Table14623576[[#This Row],[Phrases H]],"*H360*"), 20, TRUE, "")</f>
        <v>20</v>
      </c>
      <c r="AJ154" s="30" t="str" cm="1">
        <f t="array" ref="AJ154">_xlfn.IFS(COUNTIF(Table14623576[[#This Row],[Phrases H]],"*H340*"), 20, TRUE, "")</f>
        <v/>
      </c>
      <c r="AK154" s="30" t="str" cm="1">
        <f t="array" ref="AK154">_xlfn.IFS(COUNTIF(Table14623576[[#This Row],[Phrases H]],"*H351*"), 10, TRUE, "")</f>
        <v/>
      </c>
      <c r="AL154" s="30" t="str" cm="1">
        <f t="array" ref="AL154">_xlfn.IFS(COUNTIF(Table14623576[[#This Row],[Phrases H]],"*H361*"), 10, TRUE, "")</f>
        <v/>
      </c>
      <c r="AM154" s="30" t="str" cm="1">
        <f t="array" ref="AM154">_xlfn.IFS(COUNTIF(Table14623576[[#This Row],[Phrases H]],"*H362*"), 10, TRUE, "")</f>
        <v/>
      </c>
      <c r="AN154" s="30" t="str" cm="1">
        <f t="array" ref="AN154">_xlfn.IFS(COUNTIF(Table14623576[[#This Row],[Phrases H]],"*H341*"), 10, TRUE, "")</f>
        <v/>
      </c>
      <c r="AO154" s="30" t="str" cm="1">
        <f t="array" ref="AO154">_xlfn.IFS(COUNTIF(Table14623576[[#This Row],[Phrases H]],"*H372*"), 10, TRUE, "")</f>
        <v/>
      </c>
      <c r="AP154" s="30" t="str" cm="1">
        <f t="array" ref="AP154">_xlfn.IFS(COUNTIF(Table14623576[[#This Row],[Phrases H]],"*H410*"), 10, TRUE, "")</f>
        <v/>
      </c>
      <c r="AQ154" s="30" t="str" cm="1">
        <f t="array" ref="AQ154">_xlfn.IFS(COUNTIF(Table14623576[[#This Row],[Phrases H]],"*H373*"), 5, TRUE, "")</f>
        <v/>
      </c>
      <c r="AR154" s="30" cm="1">
        <f t="array" ref="AR154">_xlfn.IFS(COUNTIF(Table14623576[[#This Row],[Phrases H]],"*H411*"), 5, TRUE, "")</f>
        <v>5</v>
      </c>
      <c r="AS154" s="112">
        <f t="shared" si="88"/>
        <v>45</v>
      </c>
      <c r="AT154" s="144" t="s">
        <v>1798</v>
      </c>
      <c r="AU154" s="144">
        <v>1015</v>
      </c>
      <c r="AV154" s="114">
        <f t="shared" si="76"/>
        <v>40</v>
      </c>
      <c r="AW154" s="115" t="str">
        <f t="shared" si="95"/>
        <v>0</v>
      </c>
      <c r="AX154" s="116">
        <f t="shared" si="77"/>
        <v>45</v>
      </c>
      <c r="AY154" s="117">
        <f t="shared" si="78"/>
        <v>0.52941176470588236</v>
      </c>
      <c r="AZ154" s="118" t="str">
        <f t="shared" si="89"/>
        <v>3</v>
      </c>
      <c r="BA154" s="119" t="str">
        <f t="shared" si="79"/>
        <v>3</v>
      </c>
      <c r="BB154" s="145"/>
      <c r="BC154" s="144">
        <v>1000</v>
      </c>
      <c r="BD154" s="113" t="s">
        <v>97</v>
      </c>
      <c r="BE154" s="120">
        <f t="shared" si="92"/>
        <v>15</v>
      </c>
      <c r="BF154" s="121" t="str">
        <f t="shared" si="90"/>
        <v>Production modérée</v>
      </c>
      <c r="BG154" s="122" t="str">
        <f t="shared" si="91"/>
        <v>C</v>
      </c>
      <c r="BH154" s="145"/>
      <c r="BI154" s="7" t="s">
        <v>1623</v>
      </c>
      <c r="BJ154" s="130">
        <v>2</v>
      </c>
      <c r="BK154" s="7" t="s">
        <v>1801</v>
      </c>
      <c r="BL154" s="131">
        <v>1</v>
      </c>
      <c r="BM154" s="132" t="s">
        <v>131</v>
      </c>
      <c r="BN154"/>
      <c r="BO154" s="60" t="str">
        <f t="shared" si="94"/>
        <v>Catégorie 3C OUI</v>
      </c>
      <c r="BP154"/>
      <c r="BQ154" s="42" t="s">
        <v>1466</v>
      </c>
      <c r="BR154"/>
      <c r="BS154" s="187" t="str">
        <f t="shared" si="80"/>
        <v>X</v>
      </c>
      <c r="BT154" s="19" t="str">
        <f t="shared" si="81"/>
        <v>X</v>
      </c>
      <c r="BU154" s="19" t="str">
        <f t="shared" si="82"/>
        <v/>
      </c>
      <c r="BV154" s="10"/>
      <c r="BW154" s="5" t="str">
        <f t="shared" si="83"/>
        <v/>
      </c>
      <c r="BX154" s="5" t="str">
        <f t="shared" si="84"/>
        <v>X</v>
      </c>
      <c r="BY154"/>
      <c r="BZ154" s="5" t="str">
        <f t="shared" si="85"/>
        <v>X</v>
      </c>
      <c r="CA154" s="5" t="str">
        <f t="shared" si="86"/>
        <v>X</v>
      </c>
      <c r="CB154" s="188" t="str">
        <f t="shared" si="87"/>
        <v>X</v>
      </c>
    </row>
    <row r="155" spans="1:80" s="27" customFormat="1" ht="30" customHeight="1" x14ac:dyDescent="0.55000000000000004">
      <c r="A155" s="154">
        <v>17</v>
      </c>
      <c r="B155" s="104" t="s">
        <v>1607</v>
      </c>
      <c r="C155" s="154" t="s">
        <v>1802</v>
      </c>
      <c r="D155" s="154" t="s">
        <v>1803</v>
      </c>
      <c r="E155" s="154" t="s">
        <v>1804</v>
      </c>
      <c r="F155" s="154" t="s">
        <v>1805</v>
      </c>
      <c r="G155" s="154" t="s">
        <v>1806</v>
      </c>
      <c r="H155" s="141" t="s">
        <v>1807</v>
      </c>
      <c r="I155" s="104"/>
      <c r="J155" s="104"/>
      <c r="K155" s="142" t="s">
        <v>88</v>
      </c>
      <c r="L155" s="142"/>
      <c r="M155" s="142"/>
      <c r="N155" s="142"/>
      <c r="O155" s="142"/>
      <c r="P155" s="142" t="s">
        <v>85</v>
      </c>
      <c r="Q155" s="142"/>
      <c r="R155" s="142"/>
      <c r="S155" s="142" t="s">
        <v>88</v>
      </c>
      <c r="T155" s="142"/>
      <c r="U155" s="142" t="s">
        <v>1808</v>
      </c>
      <c r="V155" s="142" t="s">
        <v>88</v>
      </c>
      <c r="W155" s="147" t="s">
        <v>1809</v>
      </c>
      <c r="X155" s="104" t="s">
        <v>1810</v>
      </c>
      <c r="Y155" s="104" t="s">
        <v>1811</v>
      </c>
      <c r="Z155" s="104" t="s">
        <v>1812</v>
      </c>
      <c r="AA155" s="104"/>
      <c r="AB155" s="104" t="s">
        <v>1813</v>
      </c>
      <c r="AC155" s="104" t="s">
        <v>1814</v>
      </c>
      <c r="AD155" s="104" t="s">
        <v>1815</v>
      </c>
      <c r="AE155" s="1"/>
      <c r="AF155" s="30" t="str" cm="1">
        <f t="array" ref="AF155">_xlfn.IFS(COUNTIF(Table14623576[[#This Row],[PBT/ vPvB]],"*X*"), 20, TRUE, "")</f>
        <v/>
      </c>
      <c r="AG155" s="30" t="str" cm="1">
        <f t="array" ref="AG155">_xlfn.IFS(COUNTIF(Table14623576[[#This Row],[Perturbateur Endocrinien]],"*X*"), 20, TRUE, "")</f>
        <v/>
      </c>
      <c r="AH155" s="30" t="str" cm="1">
        <f t="array" ref="AH155">_xlfn.IFS(COUNTIF(Table14623576[[#This Row],[Phrases H]],"*H350*"), 20, TRUE, "")</f>
        <v/>
      </c>
      <c r="AI155" s="30" t="str" cm="1">
        <f t="array" ref="AI155">_xlfn.IFS(COUNTIF(Table14623576[[#This Row],[Phrases H]],"*H360*"), 20, TRUE, "")</f>
        <v/>
      </c>
      <c r="AJ155" s="30" t="str" cm="1">
        <f t="array" ref="AJ155">_xlfn.IFS(COUNTIF(Table14623576[[#This Row],[Phrases H]],"*H340*"), 20, TRUE, "")</f>
        <v/>
      </c>
      <c r="AK155" s="30" t="str" cm="1">
        <f t="array" ref="AK155">_xlfn.IFS(COUNTIF(Table14623576[[#This Row],[Phrases H]],"*H351*"), 10, TRUE, "")</f>
        <v/>
      </c>
      <c r="AL155" s="30" cm="1">
        <f t="array" ref="AL155">_xlfn.IFS(COUNTIF(Table14623576[[#This Row],[Phrases H]],"*H361*"), 10, TRUE, "")</f>
        <v>10</v>
      </c>
      <c r="AM155" s="30" t="str" cm="1">
        <f t="array" ref="AM155">_xlfn.IFS(COUNTIF(Table14623576[[#This Row],[Phrases H]],"*H362*"), 10, TRUE, "")</f>
        <v/>
      </c>
      <c r="AN155" s="30" t="str" cm="1">
        <f t="array" ref="AN155">_xlfn.IFS(COUNTIF(Table14623576[[#This Row],[Phrases H]],"*H341*"), 10, TRUE, "")</f>
        <v/>
      </c>
      <c r="AO155" s="30" t="str" cm="1">
        <f t="array" ref="AO155">_xlfn.IFS(COUNTIF(Table14623576[[#This Row],[Phrases H]],"*H372*"), 10, TRUE, "")</f>
        <v/>
      </c>
      <c r="AP155" s="30" t="str" cm="1">
        <f t="array" ref="AP155">_xlfn.IFS(COUNTIF(Table14623576[[#This Row],[Phrases H]],"*H410*"), 10, TRUE, "")</f>
        <v/>
      </c>
      <c r="AQ155" s="30" t="str" cm="1">
        <f t="array" ref="AQ155">_xlfn.IFS(COUNTIF(Table14623576[[#This Row],[Phrases H]],"*H373*"), 5, TRUE, "")</f>
        <v/>
      </c>
      <c r="AR155" s="30" t="str" cm="1">
        <f t="array" ref="AR155">_xlfn.IFS(COUNTIF(Table14623576[[#This Row],[Phrases H]],"*H411*"), 5, TRUE, "")</f>
        <v/>
      </c>
      <c r="AS155" s="112">
        <f t="shared" si="88"/>
        <v>10</v>
      </c>
      <c r="AT155" s="144" t="s">
        <v>1813</v>
      </c>
      <c r="AU155" s="144" t="s">
        <v>1809</v>
      </c>
      <c r="AV155" s="114">
        <f t="shared" si="76"/>
        <v>50</v>
      </c>
      <c r="AW155" s="115" t="str">
        <f t="shared" si="95"/>
        <v>0</v>
      </c>
      <c r="AX155" s="116">
        <f t="shared" si="77"/>
        <v>10</v>
      </c>
      <c r="AY155" s="117">
        <f t="shared" si="78"/>
        <v>0.11764705882352941</v>
      </c>
      <c r="AZ155" s="118" t="str">
        <f t="shared" si="89"/>
        <v>5</v>
      </c>
      <c r="BA155" s="119" t="str">
        <f t="shared" si="79"/>
        <v>5</v>
      </c>
      <c r="BB155" s="145"/>
      <c r="BC155" s="144" t="s">
        <v>88</v>
      </c>
      <c r="BD155" s="113" t="s">
        <v>97</v>
      </c>
      <c r="BE155" s="120">
        <f t="shared" si="92"/>
        <v>0</v>
      </c>
      <c r="BF155" s="121" t="str">
        <f t="shared" si="90"/>
        <v>N/A</v>
      </c>
      <c r="BG155" s="122" t="str">
        <f t="shared" si="91"/>
        <v>E</v>
      </c>
      <c r="BH155" s="145"/>
      <c r="BI155" s="7"/>
      <c r="BJ155" s="130">
        <v>0</v>
      </c>
      <c r="BK155" s="7"/>
      <c r="BL155" s="131">
        <v>0</v>
      </c>
      <c r="BM155" s="132" t="s">
        <v>99</v>
      </c>
      <c r="BN155"/>
      <c r="BO155" s="60" t="str">
        <f t="shared" si="94"/>
        <v>Catégorie 5E NON</v>
      </c>
      <c r="BP155"/>
      <c r="BQ155" s="42" t="s">
        <v>150</v>
      </c>
      <c r="BR155"/>
      <c r="BS155" s="187" t="str">
        <f t="shared" si="80"/>
        <v/>
      </c>
      <c r="BT155" s="19" t="str">
        <f t="shared" si="81"/>
        <v/>
      </c>
      <c r="BU155" s="19" t="str">
        <f t="shared" si="82"/>
        <v/>
      </c>
      <c r="BV155" s="10"/>
      <c r="BW155" s="5" t="str">
        <f t="shared" si="83"/>
        <v>X</v>
      </c>
      <c r="BX155" s="5" t="str">
        <f t="shared" si="84"/>
        <v/>
      </c>
      <c r="BY155"/>
      <c r="BZ155" s="5" t="str">
        <f t="shared" si="85"/>
        <v/>
      </c>
      <c r="CA155" s="5" t="str">
        <f t="shared" si="86"/>
        <v/>
      </c>
      <c r="CB155" s="188" t="str">
        <f t="shared" si="87"/>
        <v/>
      </c>
    </row>
    <row r="156" spans="1:80" s="27" customFormat="1" ht="30" customHeight="1" x14ac:dyDescent="0.55000000000000004">
      <c r="A156" s="154">
        <v>18</v>
      </c>
      <c r="B156" s="104" t="s">
        <v>1607</v>
      </c>
      <c r="C156" s="154" t="s">
        <v>1816</v>
      </c>
      <c r="D156" s="141" t="s">
        <v>1817</v>
      </c>
      <c r="E156" s="155" t="s">
        <v>1818</v>
      </c>
      <c r="F156" s="154" t="s">
        <v>1819</v>
      </c>
      <c r="G156" s="154" t="s">
        <v>1820</v>
      </c>
      <c r="H156" s="141" t="s">
        <v>1821</v>
      </c>
      <c r="I156" s="104"/>
      <c r="J156" s="104"/>
      <c r="K156" s="142" t="s">
        <v>88</v>
      </c>
      <c r="L156" s="142"/>
      <c r="M156" s="142"/>
      <c r="N156" s="142"/>
      <c r="O156" s="142" t="s">
        <v>85</v>
      </c>
      <c r="P156" s="142"/>
      <c r="Q156" s="142"/>
      <c r="R156" s="142"/>
      <c r="S156" s="142" t="s">
        <v>88</v>
      </c>
      <c r="T156" s="142"/>
      <c r="U156" s="142" t="s">
        <v>56</v>
      </c>
      <c r="V156" s="142" t="s">
        <v>88</v>
      </c>
      <c r="W156" s="147" t="s">
        <v>1822</v>
      </c>
      <c r="X156" s="104" t="s">
        <v>1823</v>
      </c>
      <c r="Y156" s="104" t="s">
        <v>1824</v>
      </c>
      <c r="Z156" s="104" t="s">
        <v>1825</v>
      </c>
      <c r="AA156" s="104"/>
      <c r="AB156" s="104" t="s">
        <v>1661</v>
      </c>
      <c r="AC156" s="104" t="s">
        <v>1826</v>
      </c>
      <c r="AD156" s="104" t="s">
        <v>1827</v>
      </c>
      <c r="AE156" s="1"/>
      <c r="AF156" s="30" t="str" cm="1">
        <f t="array" ref="AF156">_xlfn.IFS(COUNTIF(Table14623576[[#This Row],[PBT/ vPvB]],"*X*"), 20, TRUE, "")</f>
        <v/>
      </c>
      <c r="AG156" s="30" t="str" cm="1">
        <f t="array" ref="AG156">_xlfn.IFS(COUNTIF(Table14623576[[#This Row],[Perturbateur Endocrinien]],"*X*"), 20, TRUE, "")</f>
        <v/>
      </c>
      <c r="AH156" s="30" t="str" cm="1">
        <f t="array" ref="AH156">_xlfn.IFS(COUNTIF(Table14623576[[#This Row],[Phrases H]],"*H350*"), 20, TRUE, "")</f>
        <v/>
      </c>
      <c r="AI156" s="30" cm="1">
        <f t="array" ref="AI156">_xlfn.IFS(COUNTIF(Table14623576[[#This Row],[Phrases H]],"*H360*"), 20, TRUE, "")</f>
        <v>20</v>
      </c>
      <c r="AJ156" s="30" t="str" cm="1">
        <f t="array" ref="AJ156">_xlfn.IFS(COUNTIF(Table14623576[[#This Row],[Phrases H]],"*H340*"), 20, TRUE, "")</f>
        <v/>
      </c>
      <c r="AK156" s="30" t="str" cm="1">
        <f t="array" ref="AK156">_xlfn.IFS(COUNTIF(Table14623576[[#This Row],[Phrases H]],"*H351*"), 10, TRUE, "")</f>
        <v/>
      </c>
      <c r="AL156" s="30" t="str" cm="1">
        <f t="array" ref="AL156">_xlfn.IFS(COUNTIF(Table14623576[[#This Row],[Phrases H]],"*H361*"), 10, TRUE, "")</f>
        <v/>
      </c>
      <c r="AM156" s="30" t="str" cm="1">
        <f t="array" ref="AM156">_xlfn.IFS(COUNTIF(Table14623576[[#This Row],[Phrases H]],"*H362*"), 10, TRUE, "")</f>
        <v/>
      </c>
      <c r="AN156" s="30" t="str" cm="1">
        <f t="array" ref="AN156">_xlfn.IFS(COUNTIF(Table14623576[[#This Row],[Phrases H]],"*H341*"), 10, TRUE, "")</f>
        <v/>
      </c>
      <c r="AO156" s="30" t="str" cm="1">
        <f t="array" ref="AO156">_xlfn.IFS(COUNTIF(Table14623576[[#This Row],[Phrases H]],"*H372*"), 10, TRUE, "")</f>
        <v/>
      </c>
      <c r="AP156" s="30" t="str" cm="1">
        <f t="array" ref="AP156">_xlfn.IFS(COUNTIF(Table14623576[[#This Row],[Phrases H]],"*H410*"), 10, TRUE, "")</f>
        <v/>
      </c>
      <c r="AQ156" s="30" t="str" cm="1">
        <f t="array" ref="AQ156">_xlfn.IFS(COUNTIF(Table14623576[[#This Row],[Phrases H]],"*H373*"), 5, TRUE, "")</f>
        <v/>
      </c>
      <c r="AR156" s="30" t="str" cm="1">
        <f t="array" ref="AR156">_xlfn.IFS(COUNTIF(Table14623576[[#This Row],[Phrases H]],"*H411*"), 5, TRUE, "")</f>
        <v/>
      </c>
      <c r="AS156" s="112">
        <f t="shared" si="88"/>
        <v>20</v>
      </c>
      <c r="AT156" s="144" t="s">
        <v>1661</v>
      </c>
      <c r="AU156" s="144" t="s">
        <v>1822</v>
      </c>
      <c r="AV156" s="114">
        <f t="shared" si="76"/>
        <v>50</v>
      </c>
      <c r="AW156" s="115" t="str">
        <f t="shared" si="95"/>
        <v>0</v>
      </c>
      <c r="AX156" s="116">
        <f t="shared" si="77"/>
        <v>20</v>
      </c>
      <c r="AY156" s="117">
        <f t="shared" si="78"/>
        <v>0.23529411764705882</v>
      </c>
      <c r="AZ156" s="118" t="str">
        <f t="shared" si="89"/>
        <v>4</v>
      </c>
      <c r="BA156" s="119" t="str">
        <f t="shared" si="79"/>
        <v>4</v>
      </c>
      <c r="BB156" s="145"/>
      <c r="BC156" s="144" t="s">
        <v>88</v>
      </c>
      <c r="BD156" s="113" t="s">
        <v>97</v>
      </c>
      <c r="BE156" s="120">
        <f t="shared" si="92"/>
        <v>0</v>
      </c>
      <c r="BF156" s="121" t="str">
        <f t="shared" si="90"/>
        <v>N/A</v>
      </c>
      <c r="BG156" s="122" t="str">
        <f t="shared" si="91"/>
        <v>E</v>
      </c>
      <c r="BH156" s="145"/>
      <c r="BI156" s="7"/>
      <c r="BJ156" s="130">
        <v>0</v>
      </c>
      <c r="BK156" s="7"/>
      <c r="BL156" s="131">
        <v>0</v>
      </c>
      <c r="BM156" s="132" t="s">
        <v>99</v>
      </c>
      <c r="BN156"/>
      <c r="BO156" s="60" t="str">
        <f t="shared" si="94"/>
        <v>Catégorie 4E NON</v>
      </c>
      <c r="BP156"/>
      <c r="BQ156" s="42" t="s">
        <v>150</v>
      </c>
      <c r="BR156"/>
      <c r="BS156" s="187" t="str">
        <f t="shared" si="80"/>
        <v/>
      </c>
      <c r="BT156" s="19" t="str">
        <f t="shared" si="81"/>
        <v/>
      </c>
      <c r="BU156" s="19" t="str">
        <f t="shared" si="82"/>
        <v/>
      </c>
      <c r="BV156" s="10"/>
      <c r="BW156" s="5" t="str">
        <f t="shared" si="83"/>
        <v>X</v>
      </c>
      <c r="BX156" s="5" t="str">
        <f t="shared" si="84"/>
        <v/>
      </c>
      <c r="BY156"/>
      <c r="BZ156" s="5" t="str">
        <f t="shared" si="85"/>
        <v/>
      </c>
      <c r="CA156" s="5" t="str">
        <f t="shared" si="86"/>
        <v/>
      </c>
      <c r="CB156" s="188" t="str">
        <f t="shared" si="87"/>
        <v/>
      </c>
    </row>
    <row r="157" spans="1:80" s="27" customFormat="1" ht="30" customHeight="1" x14ac:dyDescent="0.55000000000000004">
      <c r="A157" s="154">
        <v>19</v>
      </c>
      <c r="B157" s="104" t="s">
        <v>1607</v>
      </c>
      <c r="C157" s="154" t="s">
        <v>1828</v>
      </c>
      <c r="D157" s="141"/>
      <c r="E157" s="155" t="s">
        <v>1829</v>
      </c>
      <c r="F157" s="154" t="s">
        <v>1830</v>
      </c>
      <c r="G157" s="154" t="s">
        <v>1820</v>
      </c>
      <c r="H157" s="141" t="s">
        <v>1831</v>
      </c>
      <c r="I157" s="104"/>
      <c r="J157" s="104"/>
      <c r="K157" s="142" t="s">
        <v>88</v>
      </c>
      <c r="L157" s="142"/>
      <c r="M157" s="142"/>
      <c r="N157" s="142"/>
      <c r="O157" s="142" t="s">
        <v>85</v>
      </c>
      <c r="P157" s="142"/>
      <c r="Q157" s="142"/>
      <c r="R157" s="142"/>
      <c r="S157" s="142" t="s">
        <v>88</v>
      </c>
      <c r="T157" s="142"/>
      <c r="U157" s="142" t="s">
        <v>88</v>
      </c>
      <c r="V157" s="142" t="s">
        <v>88</v>
      </c>
      <c r="W157" s="142" t="s">
        <v>88</v>
      </c>
      <c r="X157" s="104" t="s">
        <v>88</v>
      </c>
      <c r="Y157" s="104" t="s">
        <v>88</v>
      </c>
      <c r="Z157" s="104" t="s">
        <v>88</v>
      </c>
      <c r="AA157" s="104"/>
      <c r="AB157" s="104" t="s">
        <v>88</v>
      </c>
      <c r="AC157" s="104" t="s">
        <v>88</v>
      </c>
      <c r="AD157" s="104" t="s">
        <v>88</v>
      </c>
      <c r="AE157" s="1"/>
      <c r="AF157" s="30" t="str" cm="1">
        <f t="array" ref="AF157">_xlfn.IFS(COUNTIF(Table14623576[[#This Row],[PBT/ vPvB]],"*X*"), 20, TRUE, "")</f>
        <v/>
      </c>
      <c r="AG157" s="30" t="str" cm="1">
        <f t="array" ref="AG157">_xlfn.IFS(COUNTIF(Table14623576[[#This Row],[Perturbateur Endocrinien]],"*X*"), 20, TRUE, "")</f>
        <v/>
      </c>
      <c r="AH157" s="30" t="str" cm="1">
        <f t="array" ref="AH157">_xlfn.IFS(COUNTIF(Table14623576[[#This Row],[Phrases H]],"*H350*"), 20, TRUE, "")</f>
        <v/>
      </c>
      <c r="AI157" s="30" t="str" cm="1">
        <f t="array" ref="AI157">_xlfn.IFS(COUNTIF(Table14623576[[#This Row],[Phrases H]],"*H360*"), 20, TRUE, "")</f>
        <v/>
      </c>
      <c r="AJ157" s="30" t="str" cm="1">
        <f t="array" ref="AJ157">_xlfn.IFS(COUNTIF(Table14623576[[#This Row],[Phrases H]],"*H340*"), 20, TRUE, "")</f>
        <v/>
      </c>
      <c r="AK157" s="30" t="str" cm="1">
        <f t="array" ref="AK157">_xlfn.IFS(COUNTIF(Table14623576[[#This Row],[Phrases H]],"*H351*"), 10, TRUE, "")</f>
        <v/>
      </c>
      <c r="AL157" s="30" t="str" cm="1">
        <f t="array" ref="AL157">_xlfn.IFS(COUNTIF(Table14623576[[#This Row],[Phrases H]],"*H361*"), 10, TRUE, "")</f>
        <v/>
      </c>
      <c r="AM157" s="30" t="str" cm="1">
        <f t="array" ref="AM157">_xlfn.IFS(COUNTIF(Table14623576[[#This Row],[Phrases H]],"*H362*"), 10, TRUE, "")</f>
        <v/>
      </c>
      <c r="AN157" s="30" t="str" cm="1">
        <f t="array" ref="AN157">_xlfn.IFS(COUNTIF(Table14623576[[#This Row],[Phrases H]],"*H341*"), 10, TRUE, "")</f>
        <v/>
      </c>
      <c r="AO157" s="30" t="str" cm="1">
        <f t="array" ref="AO157">_xlfn.IFS(COUNTIF(Table14623576[[#This Row],[Phrases H]],"*H372*"), 10, TRUE, "")</f>
        <v/>
      </c>
      <c r="AP157" s="30" t="str" cm="1">
        <f t="array" ref="AP157">_xlfn.IFS(COUNTIF(Table14623576[[#This Row],[Phrases H]],"*H410*"), 10, TRUE, "")</f>
        <v/>
      </c>
      <c r="AQ157" s="30" t="str" cm="1">
        <f t="array" ref="AQ157">_xlfn.IFS(COUNTIF(Table14623576[[#This Row],[Phrases H]],"*H373*"), 5, TRUE, "")</f>
        <v/>
      </c>
      <c r="AR157" s="30" t="str" cm="1">
        <f t="array" ref="AR157">_xlfn.IFS(COUNTIF(Table14623576[[#This Row],[Phrases H]],"*H411*"), 5, TRUE, "")</f>
        <v/>
      </c>
      <c r="AS157" s="112">
        <f t="shared" si="88"/>
        <v>0</v>
      </c>
      <c r="AT157" s="144" t="s">
        <v>88</v>
      </c>
      <c r="AU157" s="144" t="s">
        <v>88</v>
      </c>
      <c r="AV157" s="114" t="str">
        <f t="shared" si="76"/>
        <v>N/A</v>
      </c>
      <c r="AW157" s="115">
        <v>20</v>
      </c>
      <c r="AX157" s="116">
        <f t="shared" si="77"/>
        <v>20</v>
      </c>
      <c r="AY157" s="117">
        <f t="shared" si="78"/>
        <v>0.23529411764705882</v>
      </c>
      <c r="AZ157" s="118" t="str">
        <f t="shared" si="89"/>
        <v>4</v>
      </c>
      <c r="BA157" s="119" t="str">
        <f t="shared" si="79"/>
        <v>4</v>
      </c>
      <c r="BB157" s="145"/>
      <c r="BC157" s="144" t="s">
        <v>88</v>
      </c>
      <c r="BD157" s="113" t="s">
        <v>97</v>
      </c>
      <c r="BE157" s="120">
        <f t="shared" si="92"/>
        <v>0</v>
      </c>
      <c r="BF157" s="121" t="str">
        <f t="shared" si="90"/>
        <v>N/A</v>
      </c>
      <c r="BG157" s="122" t="str">
        <f t="shared" si="91"/>
        <v>E</v>
      </c>
      <c r="BH157" s="145"/>
      <c r="BI157" s="7"/>
      <c r="BJ157" s="130">
        <v>0</v>
      </c>
      <c r="BK157" s="7"/>
      <c r="BL157" s="131">
        <v>0</v>
      </c>
      <c r="BM157" s="132" t="s">
        <v>99</v>
      </c>
      <c r="BN157"/>
      <c r="BO157" s="60" t="str">
        <f t="shared" si="94"/>
        <v>Catégorie 4E NON</v>
      </c>
      <c r="BP157"/>
      <c r="BQ157" s="42" t="s">
        <v>88</v>
      </c>
      <c r="BR157"/>
      <c r="BS157" s="187" t="str">
        <f t="shared" si="80"/>
        <v/>
      </c>
      <c r="BT157" s="19" t="str">
        <f t="shared" si="81"/>
        <v/>
      </c>
      <c r="BU157" s="19" t="str">
        <f t="shared" si="82"/>
        <v/>
      </c>
      <c r="BV157" s="10"/>
      <c r="BW157" s="5" t="str">
        <f t="shared" si="83"/>
        <v>X</v>
      </c>
      <c r="BX157" s="5" t="str">
        <f t="shared" si="84"/>
        <v/>
      </c>
      <c r="BY157"/>
      <c r="BZ157" s="5" t="str">
        <f t="shared" si="85"/>
        <v/>
      </c>
      <c r="CA157" s="5" t="str">
        <f t="shared" si="86"/>
        <v/>
      </c>
      <c r="CB157" s="188" t="str">
        <f t="shared" si="87"/>
        <v/>
      </c>
    </row>
    <row r="158" spans="1:80" s="27" customFormat="1" ht="30" customHeight="1" x14ac:dyDescent="0.55000000000000004">
      <c r="A158" s="154">
        <v>20</v>
      </c>
      <c r="B158" s="104" t="s">
        <v>1607</v>
      </c>
      <c r="C158" s="154" t="s">
        <v>1832</v>
      </c>
      <c r="D158" s="141" t="s">
        <v>1833</v>
      </c>
      <c r="E158" s="155" t="s">
        <v>1834</v>
      </c>
      <c r="F158" s="154" t="s">
        <v>1835</v>
      </c>
      <c r="G158" s="154" t="s">
        <v>1612</v>
      </c>
      <c r="H158" s="141" t="s">
        <v>1836</v>
      </c>
      <c r="I158" s="104"/>
      <c r="J158" s="104"/>
      <c r="K158" s="142" t="s">
        <v>88</v>
      </c>
      <c r="L158" s="142"/>
      <c r="M158" s="142"/>
      <c r="N158" s="142"/>
      <c r="O158" s="142"/>
      <c r="P158" s="142"/>
      <c r="Q158" s="142"/>
      <c r="R158" s="142"/>
      <c r="S158" s="142" t="s">
        <v>88</v>
      </c>
      <c r="T158" s="142"/>
      <c r="U158" s="142" t="s">
        <v>1837</v>
      </c>
      <c r="V158" s="142" t="s">
        <v>88</v>
      </c>
      <c r="W158" s="147" t="s">
        <v>1838</v>
      </c>
      <c r="X158" s="104" t="s">
        <v>1839</v>
      </c>
      <c r="Y158" s="104" t="s">
        <v>1840</v>
      </c>
      <c r="Z158" s="104" t="s">
        <v>1841</v>
      </c>
      <c r="AA158" s="104"/>
      <c r="AB158" s="104" t="s">
        <v>1842</v>
      </c>
      <c r="AC158" s="104" t="s">
        <v>1843</v>
      </c>
      <c r="AD158" s="104" t="s">
        <v>1844</v>
      </c>
      <c r="AE158" s="1"/>
      <c r="AF158" s="30" t="str" cm="1">
        <f t="array" ref="AF158">_xlfn.IFS(COUNTIF(Table14623576[[#This Row],[PBT/ vPvB]],"*X*"), 20, TRUE, "")</f>
        <v/>
      </c>
      <c r="AG158" s="30" t="str" cm="1">
        <f t="array" ref="AG158">_xlfn.IFS(COUNTIF(Table14623576[[#This Row],[Perturbateur Endocrinien]],"*X*"), 20, TRUE, "")</f>
        <v/>
      </c>
      <c r="AH158" s="30" t="str" cm="1">
        <f t="array" ref="AH158">_xlfn.IFS(COUNTIF(Table14623576[[#This Row],[Phrases H]],"*H350*"), 20, TRUE, "")</f>
        <v/>
      </c>
      <c r="AI158" s="30" cm="1">
        <f t="array" ref="AI158">_xlfn.IFS(COUNTIF(Table14623576[[#This Row],[Phrases H]],"*H360*"), 20, TRUE, "")</f>
        <v>20</v>
      </c>
      <c r="AJ158" s="30" t="str" cm="1">
        <f t="array" ref="AJ158">_xlfn.IFS(COUNTIF(Table14623576[[#This Row],[Phrases H]],"*H340*"), 20, TRUE, "")</f>
        <v/>
      </c>
      <c r="AK158" s="30" t="str" cm="1">
        <f t="array" ref="AK158">_xlfn.IFS(COUNTIF(Table14623576[[#This Row],[Phrases H]],"*H351*"), 10, TRUE, "")</f>
        <v/>
      </c>
      <c r="AL158" s="30" t="str" cm="1">
        <f t="array" ref="AL158">_xlfn.IFS(COUNTIF(Table14623576[[#This Row],[Phrases H]],"*H361*"), 10, TRUE, "")</f>
        <v/>
      </c>
      <c r="AM158" s="30" t="str" cm="1">
        <f t="array" ref="AM158">_xlfn.IFS(COUNTIF(Table14623576[[#This Row],[Phrases H]],"*H362*"), 10, TRUE, "")</f>
        <v/>
      </c>
      <c r="AN158" s="30" t="str" cm="1">
        <f t="array" ref="AN158">_xlfn.IFS(COUNTIF(Table14623576[[#This Row],[Phrases H]],"*H341*"), 10, TRUE, "")</f>
        <v/>
      </c>
      <c r="AO158" s="30" t="str" cm="1">
        <f t="array" ref="AO158">_xlfn.IFS(COUNTIF(Table14623576[[#This Row],[Phrases H]],"*H372*"), 10, TRUE, "")</f>
        <v/>
      </c>
      <c r="AP158" s="30" t="str" cm="1">
        <f t="array" ref="AP158">_xlfn.IFS(COUNTIF(Table14623576[[#This Row],[Phrases H]],"*H410*"), 10, TRUE, "")</f>
        <v/>
      </c>
      <c r="AQ158" s="30" t="str" cm="1">
        <f t="array" ref="AQ158">_xlfn.IFS(COUNTIF(Table14623576[[#This Row],[Phrases H]],"*H373*"), 5, TRUE, "")</f>
        <v/>
      </c>
      <c r="AR158" s="30" t="str" cm="1">
        <f t="array" ref="AR158">_xlfn.IFS(COUNTIF(Table14623576[[#This Row],[Phrases H]],"*H411*"), 5, TRUE, "")</f>
        <v/>
      </c>
      <c r="AS158" s="112">
        <f t="shared" si="88"/>
        <v>20</v>
      </c>
      <c r="AT158" s="144" t="s">
        <v>1842</v>
      </c>
      <c r="AU158" s="144" t="s">
        <v>1838</v>
      </c>
      <c r="AV158" s="114">
        <f t="shared" si="76"/>
        <v>50</v>
      </c>
      <c r="AW158" s="115" t="str">
        <f t="shared" ref="AW158:AW168" si="96">IF(AT158="0","0",IF(AT158&lt;2,"20",IF(AT158&lt;3,"10","0")))</f>
        <v>0</v>
      </c>
      <c r="AX158" s="116">
        <f t="shared" si="77"/>
        <v>20</v>
      </c>
      <c r="AY158" s="117">
        <f t="shared" si="78"/>
        <v>0.23529411764705882</v>
      </c>
      <c r="AZ158" s="118" t="str">
        <f t="shared" si="89"/>
        <v>4</v>
      </c>
      <c r="BA158" s="119" t="str">
        <f t="shared" si="79"/>
        <v>4</v>
      </c>
      <c r="BB158" s="145"/>
      <c r="BC158" s="144" t="s">
        <v>88</v>
      </c>
      <c r="BD158" s="113" t="s">
        <v>97</v>
      </c>
      <c r="BE158" s="120">
        <f t="shared" si="92"/>
        <v>0</v>
      </c>
      <c r="BF158" s="121" t="str">
        <f t="shared" si="90"/>
        <v>N/A</v>
      </c>
      <c r="BG158" s="122" t="str">
        <f t="shared" si="91"/>
        <v>E</v>
      </c>
      <c r="BH158" s="145"/>
      <c r="BI158" s="7"/>
      <c r="BJ158" s="130">
        <v>0</v>
      </c>
      <c r="BK158" s="7"/>
      <c r="BL158" s="131">
        <v>0</v>
      </c>
      <c r="BM158" s="132" t="s">
        <v>99</v>
      </c>
      <c r="BN158"/>
      <c r="BO158" s="60" t="str">
        <f t="shared" si="94"/>
        <v>Catégorie 4E NON</v>
      </c>
      <c r="BP158"/>
      <c r="BQ158" s="42" t="s">
        <v>88</v>
      </c>
      <c r="BR158"/>
      <c r="BS158" s="187" t="str">
        <f t="shared" si="80"/>
        <v/>
      </c>
      <c r="BT158" s="19" t="str">
        <f t="shared" si="81"/>
        <v/>
      </c>
      <c r="BU158" s="19" t="str">
        <f t="shared" si="82"/>
        <v/>
      </c>
      <c r="BV158" s="10"/>
      <c r="BW158" s="5" t="str">
        <f t="shared" si="83"/>
        <v>X</v>
      </c>
      <c r="BX158" s="5" t="str">
        <f t="shared" si="84"/>
        <v/>
      </c>
      <c r="BY158"/>
      <c r="BZ158" s="5" t="str">
        <f t="shared" si="85"/>
        <v/>
      </c>
      <c r="CA158" s="5" t="str">
        <f t="shared" si="86"/>
        <v/>
      </c>
      <c r="CB158" s="188" t="str">
        <f t="shared" si="87"/>
        <v/>
      </c>
    </row>
    <row r="159" spans="1:80" s="27" customFormat="1" ht="30" customHeight="1" x14ac:dyDescent="0.55000000000000004">
      <c r="A159" s="141">
        <v>21</v>
      </c>
      <c r="B159" s="104" t="s">
        <v>1607</v>
      </c>
      <c r="C159" s="141" t="s">
        <v>1845</v>
      </c>
      <c r="D159" s="141" t="s">
        <v>1846</v>
      </c>
      <c r="E159" s="154" t="s">
        <v>1847</v>
      </c>
      <c r="F159" s="154" t="s">
        <v>1848</v>
      </c>
      <c r="G159" s="141" t="s">
        <v>1748</v>
      </c>
      <c r="H159" s="141" t="s">
        <v>1849</v>
      </c>
      <c r="I159" s="104"/>
      <c r="J159" s="104"/>
      <c r="K159" s="142" t="s">
        <v>88</v>
      </c>
      <c r="L159" s="142"/>
      <c r="M159" s="142"/>
      <c r="N159" s="142"/>
      <c r="O159" s="142"/>
      <c r="P159" s="142" t="s">
        <v>85</v>
      </c>
      <c r="Q159" s="142"/>
      <c r="R159" s="142"/>
      <c r="S159" s="142" t="s">
        <v>88</v>
      </c>
      <c r="T159" s="142"/>
      <c r="U159" s="142" t="s">
        <v>409</v>
      </c>
      <c r="V159" s="142" t="s">
        <v>88</v>
      </c>
      <c r="W159" s="147" t="s">
        <v>1850</v>
      </c>
      <c r="X159" s="104" t="s">
        <v>1851</v>
      </c>
      <c r="Y159" s="104">
        <v>142868</v>
      </c>
      <c r="Z159" s="104" t="s">
        <v>1852</v>
      </c>
      <c r="AA159" s="104"/>
      <c r="AB159" s="104" t="s">
        <v>1853</v>
      </c>
      <c r="AC159" s="104" t="s">
        <v>1854</v>
      </c>
      <c r="AD159" s="104" t="s">
        <v>1855</v>
      </c>
      <c r="AE159" s="1"/>
      <c r="AF159" s="30" t="str" cm="1">
        <f t="array" ref="AF159">_xlfn.IFS(COUNTIF(Table14623576[[#This Row],[PBT/ vPvB]],"*X*"), 20, TRUE, "")</f>
        <v/>
      </c>
      <c r="AG159" s="30" t="str" cm="1">
        <f t="array" ref="AG159">_xlfn.IFS(COUNTIF(Table14623576[[#This Row],[Perturbateur Endocrinien]],"*X*"), 20, TRUE, "")</f>
        <v/>
      </c>
      <c r="AH159" s="30" t="str" cm="1">
        <f t="array" ref="AH159">_xlfn.IFS(COUNTIF(Table14623576[[#This Row],[Phrases H]],"*H350*"), 20, TRUE, "")</f>
        <v/>
      </c>
      <c r="AI159" s="30" t="str" cm="1">
        <f t="array" ref="AI159">_xlfn.IFS(COUNTIF(Table14623576[[#This Row],[Phrases H]],"*H360*"), 20, TRUE, "")</f>
        <v/>
      </c>
      <c r="AJ159" s="30" t="str" cm="1">
        <f t="array" ref="AJ159">_xlfn.IFS(COUNTIF(Table14623576[[#This Row],[Phrases H]],"*H340*"), 20, TRUE, "")</f>
        <v/>
      </c>
      <c r="AK159" s="30" t="str" cm="1">
        <f t="array" ref="AK159">_xlfn.IFS(COUNTIF(Table14623576[[#This Row],[Phrases H]],"*H351*"), 10, TRUE, "")</f>
        <v/>
      </c>
      <c r="AL159" s="30" t="str" cm="1">
        <f t="array" ref="AL159">_xlfn.IFS(COUNTIF(Table14623576[[#This Row],[Phrases H]],"*H361*"), 10, TRUE, "")</f>
        <v/>
      </c>
      <c r="AM159" s="30" t="str" cm="1">
        <f t="array" ref="AM159">_xlfn.IFS(COUNTIF(Table14623576[[#This Row],[Phrases H]],"*H362*"), 10, TRUE, "")</f>
        <v/>
      </c>
      <c r="AN159" s="30" t="str" cm="1">
        <f t="array" ref="AN159">_xlfn.IFS(COUNTIF(Table14623576[[#This Row],[Phrases H]],"*H341*"), 10, TRUE, "")</f>
        <v/>
      </c>
      <c r="AO159" s="30" t="str" cm="1">
        <f t="array" ref="AO159">_xlfn.IFS(COUNTIF(Table14623576[[#This Row],[Phrases H]],"*H372*"), 10, TRUE, "")</f>
        <v/>
      </c>
      <c r="AP159" s="30" t="str" cm="1">
        <f t="array" ref="AP159">_xlfn.IFS(COUNTIF(Table14623576[[#This Row],[Phrases H]],"*H410*"), 10, TRUE, "")</f>
        <v/>
      </c>
      <c r="AQ159" s="30" t="str" cm="1">
        <f t="array" ref="AQ159">_xlfn.IFS(COUNTIF(Table14623576[[#This Row],[Phrases H]],"*H373*"), 5, TRUE, "")</f>
        <v/>
      </c>
      <c r="AR159" s="30" t="str" cm="1">
        <f t="array" ref="AR159">_xlfn.IFS(COUNTIF(Table14623576[[#This Row],[Phrases H]],"*H411*"), 5, TRUE, "")</f>
        <v/>
      </c>
      <c r="AS159" s="112">
        <f t="shared" si="88"/>
        <v>0</v>
      </c>
      <c r="AT159" s="144" t="s">
        <v>1853</v>
      </c>
      <c r="AU159" s="144" t="s">
        <v>1850</v>
      </c>
      <c r="AV159" s="114">
        <f t="shared" si="76"/>
        <v>50</v>
      </c>
      <c r="AW159" s="115" t="str">
        <f t="shared" si="96"/>
        <v>0</v>
      </c>
      <c r="AX159" s="116">
        <f t="shared" si="77"/>
        <v>0</v>
      </c>
      <c r="AY159" s="117">
        <f t="shared" si="78"/>
        <v>0</v>
      </c>
      <c r="AZ159" s="118" t="str">
        <f t="shared" si="89"/>
        <v>5</v>
      </c>
      <c r="BA159" s="119" t="str">
        <f t="shared" si="79"/>
        <v>5</v>
      </c>
      <c r="BB159" s="145"/>
      <c r="BC159" s="144" t="s">
        <v>88</v>
      </c>
      <c r="BD159" s="113" t="s">
        <v>97</v>
      </c>
      <c r="BE159" s="120">
        <f t="shared" si="92"/>
        <v>0</v>
      </c>
      <c r="BF159" s="121" t="str">
        <f t="shared" si="90"/>
        <v>N/A</v>
      </c>
      <c r="BG159" s="122" t="str">
        <f t="shared" si="91"/>
        <v>E</v>
      </c>
      <c r="BH159" s="145"/>
      <c r="BI159" s="7"/>
      <c r="BJ159" s="130">
        <v>0</v>
      </c>
      <c r="BK159" s="7"/>
      <c r="BL159" s="131">
        <v>0</v>
      </c>
      <c r="BM159" s="132" t="s">
        <v>99</v>
      </c>
      <c r="BN159"/>
      <c r="BO159" s="60" t="str">
        <f t="shared" si="94"/>
        <v>Catégorie 5E NON</v>
      </c>
      <c r="BP159"/>
      <c r="BQ159" s="42" t="s">
        <v>150</v>
      </c>
      <c r="BR159"/>
      <c r="BS159" s="187" t="str">
        <f t="shared" si="80"/>
        <v/>
      </c>
      <c r="BT159" s="19" t="str">
        <f t="shared" si="81"/>
        <v/>
      </c>
      <c r="BU159" s="19" t="str">
        <f t="shared" si="82"/>
        <v/>
      </c>
      <c r="BV159" s="10"/>
      <c r="BW159" s="5" t="str">
        <f t="shared" si="83"/>
        <v>X</v>
      </c>
      <c r="BX159" s="5" t="str">
        <f t="shared" si="84"/>
        <v/>
      </c>
      <c r="BY159"/>
      <c r="BZ159" s="5" t="str">
        <f t="shared" si="85"/>
        <v/>
      </c>
      <c r="CA159" s="5" t="str">
        <f t="shared" si="86"/>
        <v/>
      </c>
      <c r="CB159" s="188" t="str">
        <f t="shared" si="87"/>
        <v/>
      </c>
    </row>
    <row r="160" spans="1:80" s="27" customFormat="1" ht="30" customHeight="1" x14ac:dyDescent="0.55000000000000004">
      <c r="A160" s="141">
        <v>22</v>
      </c>
      <c r="B160" s="104" t="s">
        <v>1607</v>
      </c>
      <c r="C160" s="141" t="s">
        <v>1856</v>
      </c>
      <c r="D160" s="141" t="s">
        <v>1857</v>
      </c>
      <c r="E160" s="155" t="s">
        <v>1858</v>
      </c>
      <c r="F160" s="154" t="s">
        <v>1859</v>
      </c>
      <c r="G160" s="141" t="s">
        <v>1612</v>
      </c>
      <c r="H160" s="141" t="s">
        <v>1860</v>
      </c>
      <c r="I160" s="104"/>
      <c r="J160" s="104"/>
      <c r="K160" s="142" t="s">
        <v>88</v>
      </c>
      <c r="L160" s="142"/>
      <c r="M160" s="142"/>
      <c r="N160" s="142"/>
      <c r="O160" s="142"/>
      <c r="P160" s="142"/>
      <c r="Q160" s="142"/>
      <c r="R160" s="142"/>
      <c r="S160" s="142" t="s">
        <v>88</v>
      </c>
      <c r="T160" s="142"/>
      <c r="U160" s="142" t="s">
        <v>1861</v>
      </c>
      <c r="V160" s="142" t="s">
        <v>88</v>
      </c>
      <c r="W160" s="147" t="s">
        <v>1862</v>
      </c>
      <c r="X160" s="104" t="s">
        <v>1863</v>
      </c>
      <c r="Y160" s="104" t="s">
        <v>1864</v>
      </c>
      <c r="Z160" s="104" t="s">
        <v>1865</v>
      </c>
      <c r="AA160" s="104"/>
      <c r="AB160" s="104" t="s">
        <v>1866</v>
      </c>
      <c r="AC160" s="104" t="s">
        <v>1867</v>
      </c>
      <c r="AD160" s="104" t="s">
        <v>1868</v>
      </c>
      <c r="AE160" s="1"/>
      <c r="AF160" s="30" t="str" cm="1">
        <f t="array" ref="AF160">_xlfn.IFS(COUNTIF(Table14623576[[#This Row],[PBT/ vPvB]],"*X*"), 20, TRUE, "")</f>
        <v/>
      </c>
      <c r="AG160" s="30" t="str" cm="1">
        <f t="array" ref="AG160">_xlfn.IFS(COUNTIF(Table14623576[[#This Row],[Perturbateur Endocrinien]],"*X*"), 20, TRUE, "")</f>
        <v/>
      </c>
      <c r="AH160" s="30" t="str" cm="1">
        <f t="array" ref="AH160">_xlfn.IFS(COUNTIF(Table14623576[[#This Row],[Phrases H]],"*H350*"), 20, TRUE, "")</f>
        <v/>
      </c>
      <c r="AI160" s="30" cm="1">
        <f t="array" ref="AI160">_xlfn.IFS(COUNTIF(Table14623576[[#This Row],[Phrases H]],"*H360*"), 20, TRUE, "")</f>
        <v>20</v>
      </c>
      <c r="AJ160" s="30" t="str" cm="1">
        <f t="array" ref="AJ160">_xlfn.IFS(COUNTIF(Table14623576[[#This Row],[Phrases H]],"*H340*"), 20, TRUE, "")</f>
        <v/>
      </c>
      <c r="AK160" s="30" t="str" cm="1">
        <f t="array" ref="AK160">_xlfn.IFS(COUNTIF(Table14623576[[#This Row],[Phrases H]],"*H351*"), 10, TRUE, "")</f>
        <v/>
      </c>
      <c r="AL160" s="30" t="str" cm="1">
        <f t="array" ref="AL160">_xlfn.IFS(COUNTIF(Table14623576[[#This Row],[Phrases H]],"*H361*"), 10, TRUE, "")</f>
        <v/>
      </c>
      <c r="AM160" s="30" t="str" cm="1">
        <f t="array" ref="AM160">_xlfn.IFS(COUNTIF(Table14623576[[#This Row],[Phrases H]],"*H362*"), 10, TRUE, "")</f>
        <v/>
      </c>
      <c r="AN160" s="30" t="str" cm="1">
        <f t="array" ref="AN160">_xlfn.IFS(COUNTIF(Table14623576[[#This Row],[Phrases H]],"*H341*"), 10, TRUE, "")</f>
        <v/>
      </c>
      <c r="AO160" s="30" t="str" cm="1">
        <f t="array" ref="AO160">_xlfn.IFS(COUNTIF(Table14623576[[#This Row],[Phrases H]],"*H372*"), 10, TRUE, "")</f>
        <v/>
      </c>
      <c r="AP160" s="30" t="str" cm="1">
        <f t="array" ref="AP160">_xlfn.IFS(COUNTIF(Table14623576[[#This Row],[Phrases H]],"*H410*"), 10, TRUE, "")</f>
        <v/>
      </c>
      <c r="AQ160" s="30" t="str" cm="1">
        <f t="array" ref="AQ160">_xlfn.IFS(COUNTIF(Table14623576[[#This Row],[Phrases H]],"*H373*"), 5, TRUE, "")</f>
        <v/>
      </c>
      <c r="AR160" s="30" t="str" cm="1">
        <f t="array" ref="AR160">_xlfn.IFS(COUNTIF(Table14623576[[#This Row],[Phrases H]],"*H411*"), 5, TRUE, "")</f>
        <v/>
      </c>
      <c r="AS160" s="112">
        <f t="shared" si="88"/>
        <v>20</v>
      </c>
      <c r="AT160" s="144" t="s">
        <v>1866</v>
      </c>
      <c r="AU160" s="144" t="s">
        <v>1862</v>
      </c>
      <c r="AV160" s="114">
        <f t="shared" si="76"/>
        <v>50</v>
      </c>
      <c r="AW160" s="115" t="str">
        <f t="shared" si="96"/>
        <v>0</v>
      </c>
      <c r="AX160" s="116">
        <f t="shared" si="77"/>
        <v>20</v>
      </c>
      <c r="AY160" s="117">
        <f t="shared" si="78"/>
        <v>0.23529411764705882</v>
      </c>
      <c r="AZ160" s="118" t="str">
        <f t="shared" si="89"/>
        <v>4</v>
      </c>
      <c r="BA160" s="119" t="str">
        <f t="shared" si="79"/>
        <v>4</v>
      </c>
      <c r="BB160" s="145"/>
      <c r="BC160" s="144" t="s">
        <v>88</v>
      </c>
      <c r="BD160" s="113" t="s">
        <v>97</v>
      </c>
      <c r="BE160" s="120">
        <f t="shared" si="92"/>
        <v>0</v>
      </c>
      <c r="BF160" s="121" t="str">
        <f t="shared" si="90"/>
        <v>N/A</v>
      </c>
      <c r="BG160" s="122" t="str">
        <f t="shared" si="91"/>
        <v>E</v>
      </c>
      <c r="BH160" s="145"/>
      <c r="BI160" s="7"/>
      <c r="BJ160" s="130">
        <v>0</v>
      </c>
      <c r="BK160" s="7"/>
      <c r="BL160" s="131">
        <v>0</v>
      </c>
      <c r="BM160" s="132" t="s">
        <v>99</v>
      </c>
      <c r="BN160"/>
      <c r="BO160" s="60" t="str">
        <f t="shared" si="94"/>
        <v>Catégorie 4E NON</v>
      </c>
      <c r="BP160"/>
      <c r="BQ160" s="42" t="s">
        <v>88</v>
      </c>
      <c r="BR160"/>
      <c r="BS160" s="187" t="str">
        <f t="shared" si="80"/>
        <v/>
      </c>
      <c r="BT160" s="19" t="str">
        <f t="shared" si="81"/>
        <v/>
      </c>
      <c r="BU160" s="19" t="str">
        <f t="shared" si="82"/>
        <v/>
      </c>
      <c r="BV160" s="10"/>
      <c r="BW160" s="5" t="str">
        <f t="shared" si="83"/>
        <v>X</v>
      </c>
      <c r="BX160" s="5" t="str">
        <f t="shared" si="84"/>
        <v/>
      </c>
      <c r="BY160"/>
      <c r="BZ160" s="5" t="str">
        <f t="shared" si="85"/>
        <v/>
      </c>
      <c r="CA160" s="5" t="str">
        <f t="shared" si="86"/>
        <v/>
      </c>
      <c r="CB160" s="188" t="str">
        <f t="shared" si="87"/>
        <v/>
      </c>
    </row>
    <row r="161" spans="1:80" s="27" customFormat="1" ht="30" customHeight="1" x14ac:dyDescent="0.55000000000000004">
      <c r="A161" s="141">
        <v>23</v>
      </c>
      <c r="B161" s="104" t="s">
        <v>1607</v>
      </c>
      <c r="C161" s="141" t="s">
        <v>1869</v>
      </c>
      <c r="D161" s="141" t="s">
        <v>1870</v>
      </c>
      <c r="E161" s="155" t="s">
        <v>1871</v>
      </c>
      <c r="F161" s="154" t="s">
        <v>1872</v>
      </c>
      <c r="G161" s="141" t="s">
        <v>1748</v>
      </c>
      <c r="H161" s="141" t="s">
        <v>1873</v>
      </c>
      <c r="I161" s="104"/>
      <c r="J161" s="104"/>
      <c r="K161" s="142" t="s">
        <v>88</v>
      </c>
      <c r="L161" s="142"/>
      <c r="M161" s="142"/>
      <c r="N161" s="142"/>
      <c r="O161" s="142"/>
      <c r="P161" s="142"/>
      <c r="Q161" s="142"/>
      <c r="R161" s="142"/>
      <c r="S161" s="142" t="s">
        <v>88</v>
      </c>
      <c r="T161" s="142"/>
      <c r="U161" s="142" t="s">
        <v>1874</v>
      </c>
      <c r="V161" s="142" t="s">
        <v>88</v>
      </c>
      <c r="W161" s="147" t="s">
        <v>1875</v>
      </c>
      <c r="X161" s="104" t="s">
        <v>1876</v>
      </c>
      <c r="Y161" s="104" t="s">
        <v>1877</v>
      </c>
      <c r="Z161" s="104" t="s">
        <v>1878</v>
      </c>
      <c r="AA161" s="104"/>
      <c r="AB161" s="104" t="s">
        <v>1879</v>
      </c>
      <c r="AC161" s="104" t="s">
        <v>1880</v>
      </c>
      <c r="AD161" s="104" t="s">
        <v>1881</v>
      </c>
      <c r="AE161" s="1"/>
      <c r="AF161" s="30" t="str" cm="1">
        <f t="array" ref="AF161">_xlfn.IFS(COUNTIF(Table14623576[[#This Row],[PBT/ vPvB]],"*X*"), 20, TRUE, "")</f>
        <v/>
      </c>
      <c r="AG161" s="30" t="str" cm="1">
        <f t="array" ref="AG161">_xlfn.IFS(COUNTIF(Table14623576[[#This Row],[Perturbateur Endocrinien]],"*X*"), 20, TRUE, "")</f>
        <v/>
      </c>
      <c r="AH161" s="30" t="str" cm="1">
        <f t="array" ref="AH161">_xlfn.IFS(COUNTIF(Table14623576[[#This Row],[Phrases H]],"*H350*"), 20, TRUE, "")</f>
        <v/>
      </c>
      <c r="AI161" s="30" t="str" cm="1">
        <f t="array" ref="AI161">_xlfn.IFS(COUNTIF(Table14623576[[#This Row],[Phrases H]],"*H360*"), 20, TRUE, "")</f>
        <v/>
      </c>
      <c r="AJ161" s="30" t="str" cm="1">
        <f t="array" ref="AJ161">_xlfn.IFS(COUNTIF(Table14623576[[#This Row],[Phrases H]],"*H340*"), 20, TRUE, "")</f>
        <v/>
      </c>
      <c r="AK161" s="30" t="str" cm="1">
        <f t="array" ref="AK161">_xlfn.IFS(COUNTIF(Table14623576[[#This Row],[Phrases H]],"*H351*"), 10, TRUE, "")</f>
        <v/>
      </c>
      <c r="AL161" s="30" cm="1">
        <f t="array" ref="AL161">_xlfn.IFS(COUNTIF(Table14623576[[#This Row],[Phrases H]],"*H361*"), 10, TRUE, "")</f>
        <v>10</v>
      </c>
      <c r="AM161" s="30"/>
      <c r="AN161" s="30" t="str" cm="1">
        <f t="array" ref="AN161">_xlfn.IFS(COUNTIF(Table14623576[[#This Row],[Phrases H]],"*H341*"), 10, TRUE, "")</f>
        <v/>
      </c>
      <c r="AO161" s="30" t="str" cm="1">
        <f t="array" ref="AO161">_xlfn.IFS(COUNTIF(Table14623576[[#This Row],[Phrases H]],"*H372*"), 10, TRUE, "")</f>
        <v/>
      </c>
      <c r="AP161" s="30" t="str" cm="1">
        <f t="array" ref="AP161">_xlfn.IFS(COUNTIF(Table14623576[[#This Row],[Phrases H]],"*H410*"), 10, TRUE, "")</f>
        <v/>
      </c>
      <c r="AQ161" s="30" t="str" cm="1">
        <f t="array" ref="AQ161">_xlfn.IFS(COUNTIF(Table14623576[[#This Row],[Phrases H]],"*H373*"), 5, TRUE, "")</f>
        <v/>
      </c>
      <c r="AR161" s="30" cm="1">
        <f t="array" ref="AR161">_xlfn.IFS(COUNTIF(Table14623576[[#This Row],[Phrases H]],"*H411*"), 5, TRUE, "")</f>
        <v>5</v>
      </c>
      <c r="AS161" s="112">
        <f t="shared" si="88"/>
        <v>15</v>
      </c>
      <c r="AT161" s="144" t="s">
        <v>1879</v>
      </c>
      <c r="AU161" s="144" t="s">
        <v>1875</v>
      </c>
      <c r="AV161" s="114">
        <f t="shared" si="76"/>
        <v>50</v>
      </c>
      <c r="AW161" s="115" t="str">
        <f t="shared" si="96"/>
        <v>0</v>
      </c>
      <c r="AX161" s="116">
        <f t="shared" si="77"/>
        <v>15</v>
      </c>
      <c r="AY161" s="117">
        <f t="shared" si="78"/>
        <v>0.17647058823529413</v>
      </c>
      <c r="AZ161" s="118" t="str">
        <f t="shared" si="89"/>
        <v>5</v>
      </c>
      <c r="BA161" s="119" t="str">
        <f t="shared" si="79"/>
        <v>5</v>
      </c>
      <c r="BB161" s="145"/>
      <c r="BC161" s="144" t="s">
        <v>88</v>
      </c>
      <c r="BD161" s="113" t="s">
        <v>97</v>
      </c>
      <c r="BE161" s="120">
        <f t="shared" si="92"/>
        <v>0</v>
      </c>
      <c r="BF161" s="121" t="str">
        <f t="shared" si="90"/>
        <v>N/A</v>
      </c>
      <c r="BG161" s="122" t="str">
        <f t="shared" si="91"/>
        <v>E</v>
      </c>
      <c r="BH161" s="145"/>
      <c r="BI161" s="7"/>
      <c r="BJ161" s="130">
        <v>0</v>
      </c>
      <c r="BK161" s="7"/>
      <c r="BL161" s="131">
        <v>0</v>
      </c>
      <c r="BM161" s="132" t="s">
        <v>99</v>
      </c>
      <c r="BN161"/>
      <c r="BO161" s="60" t="str">
        <f t="shared" si="94"/>
        <v>Catégorie 5E NON</v>
      </c>
      <c r="BP161"/>
      <c r="BQ161" s="42" t="s">
        <v>88</v>
      </c>
      <c r="BR161"/>
      <c r="BS161" s="187" t="str">
        <f t="shared" si="80"/>
        <v/>
      </c>
      <c r="BT161" s="19" t="str">
        <f t="shared" si="81"/>
        <v/>
      </c>
      <c r="BU161" s="19" t="str">
        <f t="shared" si="82"/>
        <v/>
      </c>
      <c r="BV161" s="10"/>
      <c r="BW161" s="5" t="str">
        <f t="shared" si="83"/>
        <v>X</v>
      </c>
      <c r="BX161" s="5" t="str">
        <f t="shared" si="84"/>
        <v/>
      </c>
      <c r="BY161"/>
      <c r="BZ161" s="5" t="str">
        <f t="shared" si="85"/>
        <v/>
      </c>
      <c r="CA161" s="5" t="str">
        <f t="shared" si="86"/>
        <v/>
      </c>
      <c r="CB161" s="188" t="str">
        <f t="shared" si="87"/>
        <v/>
      </c>
    </row>
    <row r="162" spans="1:80" s="27" customFormat="1" ht="30" customHeight="1" x14ac:dyDescent="0.55000000000000004">
      <c r="A162" s="154">
        <v>24</v>
      </c>
      <c r="B162" s="104" t="s">
        <v>1607</v>
      </c>
      <c r="C162" s="154" t="s">
        <v>1882</v>
      </c>
      <c r="D162" s="154" t="s">
        <v>1883</v>
      </c>
      <c r="E162" s="154" t="s">
        <v>1884</v>
      </c>
      <c r="F162" s="154" t="s">
        <v>1885</v>
      </c>
      <c r="G162" s="154" t="s">
        <v>1886</v>
      </c>
      <c r="H162" s="141" t="s">
        <v>1887</v>
      </c>
      <c r="I162" s="104"/>
      <c r="J162" s="104"/>
      <c r="K162" s="142" t="s">
        <v>1508</v>
      </c>
      <c r="L162" s="142"/>
      <c r="M162" s="142"/>
      <c r="N162" s="142"/>
      <c r="O162" s="142"/>
      <c r="P162" s="142"/>
      <c r="Q162" s="142"/>
      <c r="R162" s="142" t="s">
        <v>85</v>
      </c>
      <c r="S162" s="142" t="s">
        <v>1888</v>
      </c>
      <c r="T162" s="142" t="s">
        <v>85</v>
      </c>
      <c r="U162" s="142" t="s">
        <v>108</v>
      </c>
      <c r="V162" s="142" t="s">
        <v>122</v>
      </c>
      <c r="W162" s="142" t="s">
        <v>1889</v>
      </c>
      <c r="X162" s="104">
        <v>0</v>
      </c>
      <c r="Y162" s="104" t="s">
        <v>1890</v>
      </c>
      <c r="Z162" s="104" t="s">
        <v>1891</v>
      </c>
      <c r="AA162" s="104"/>
      <c r="AB162" s="104" t="s">
        <v>1892</v>
      </c>
      <c r="AC162" s="104" t="s">
        <v>1893</v>
      </c>
      <c r="AD162" s="142" t="s">
        <v>1894</v>
      </c>
      <c r="AE162" s="1"/>
      <c r="AF162" s="30" cm="1">
        <f t="array" ref="AF162">_xlfn.IFS(COUNTIF(Table14623576[[#This Row],[PBT/ vPvB]],"*X*"), 20, TRUE, "")</f>
        <v>20</v>
      </c>
      <c r="AG162" s="30" cm="1">
        <f t="array" ref="AG162">_xlfn.IFS(COUNTIF(Table14623576[[#This Row],[Perturbateur Endocrinien]],"*X*"), 20, TRUE, "")</f>
        <v>20</v>
      </c>
      <c r="AH162" s="30" t="str" cm="1">
        <f t="array" ref="AH162">_xlfn.IFS(COUNTIF(Table14623576[[#This Row],[Phrases H]],"*H350*"), 20, TRUE, "")</f>
        <v/>
      </c>
      <c r="AI162" s="30" t="str" cm="1">
        <f t="array" ref="AI162">_xlfn.IFS(COUNTIF(Table14623576[[#This Row],[Phrases H]],"*H360*"), 20, TRUE, "")</f>
        <v/>
      </c>
      <c r="AJ162" s="30" t="str" cm="1">
        <f t="array" ref="AJ162">_xlfn.IFS(COUNTIF(Table14623576[[#This Row],[Phrases H]],"*H340*"), 20, TRUE, "")</f>
        <v/>
      </c>
      <c r="AK162" s="30" t="str" cm="1">
        <f t="array" ref="AK162">_xlfn.IFS(COUNTIF(Table14623576[[#This Row],[Phrases H]],"*H351*"), 10, TRUE, "")</f>
        <v/>
      </c>
      <c r="AL162" s="30" t="str" cm="1">
        <f t="array" ref="AL162">_xlfn.IFS(COUNTIF(Table14623576[[#This Row],[Phrases H]],"*H361*"), 10, TRUE, "")</f>
        <v/>
      </c>
      <c r="AM162" s="30" t="str" cm="1">
        <f t="array" ref="AM162">_xlfn.IFS(COUNTIF(Table14623576[[#This Row],[Phrases H]],"*H362*"), 10, TRUE, "")</f>
        <v/>
      </c>
      <c r="AN162" s="30" t="str" cm="1">
        <f t="array" ref="AN162">_xlfn.IFS(COUNTIF(Table14623576[[#This Row],[Phrases H]],"*H341*"), 10, TRUE, "")</f>
        <v/>
      </c>
      <c r="AO162" s="30" t="str" cm="1">
        <f t="array" ref="AO162">_xlfn.IFS(COUNTIF(Table14623576[[#This Row],[Phrases H]],"*H372*"), 10, TRUE, "")</f>
        <v/>
      </c>
      <c r="AP162" s="30" t="str" cm="1">
        <f t="array" ref="AP162">_xlfn.IFS(COUNTIF(Table14623576[[#This Row],[Phrases H]],"*H410*"), 10, TRUE, "")</f>
        <v/>
      </c>
      <c r="AQ162" s="30" t="str" cm="1">
        <f t="array" ref="AQ162">_xlfn.IFS(COUNTIF(Table14623576[[#This Row],[Phrases H]],"*H373*"), 5, TRUE, "")</f>
        <v/>
      </c>
      <c r="AR162" s="30" t="str" cm="1">
        <f t="array" ref="AR162">_xlfn.IFS(COUNTIF(Table14623576[[#This Row],[Phrases H]],"*H411*"), 5, TRUE, "")</f>
        <v/>
      </c>
      <c r="AS162" s="112">
        <f t="shared" si="88"/>
        <v>40</v>
      </c>
      <c r="AT162" s="144" t="s">
        <v>1892</v>
      </c>
      <c r="AU162" s="144" t="s">
        <v>1889</v>
      </c>
      <c r="AV162" s="114">
        <f t="shared" si="76"/>
        <v>50</v>
      </c>
      <c r="AW162" s="115" t="str">
        <f t="shared" si="96"/>
        <v>0</v>
      </c>
      <c r="AX162" s="116">
        <f t="shared" si="77"/>
        <v>40</v>
      </c>
      <c r="AY162" s="117">
        <f t="shared" si="78"/>
        <v>0.47058823529411764</v>
      </c>
      <c r="AZ162" s="118" t="str">
        <f t="shared" si="89"/>
        <v>3</v>
      </c>
      <c r="BA162" s="119" t="str">
        <f t="shared" si="79"/>
        <v>3</v>
      </c>
      <c r="BB162" s="145"/>
      <c r="BC162" s="144">
        <v>100000</v>
      </c>
      <c r="BD162" s="113" t="s">
        <v>97</v>
      </c>
      <c r="BE162" s="120">
        <f t="shared" si="92"/>
        <v>25</v>
      </c>
      <c r="BF162" s="121" t="str">
        <f t="shared" si="90"/>
        <v>Production très élevée</v>
      </c>
      <c r="BG162" s="122" t="str">
        <f t="shared" si="91"/>
        <v>A</v>
      </c>
      <c r="BH162" s="145"/>
      <c r="BI162" s="7"/>
      <c r="BJ162" s="130">
        <v>0</v>
      </c>
      <c r="BK162" s="7"/>
      <c r="BL162" s="131">
        <v>0</v>
      </c>
      <c r="BM162" s="132" t="s">
        <v>99</v>
      </c>
      <c r="BN162"/>
      <c r="BO162" s="60" t="str">
        <f t="shared" si="94"/>
        <v>Catégorie 3A NON</v>
      </c>
      <c r="BP162"/>
      <c r="BQ162" s="42" t="s">
        <v>88</v>
      </c>
      <c r="BR162"/>
      <c r="BS162" s="187" t="str">
        <f t="shared" si="80"/>
        <v>X</v>
      </c>
      <c r="BT162" s="19" t="str">
        <f t="shared" si="81"/>
        <v/>
      </c>
      <c r="BU162" s="19" t="str">
        <f t="shared" si="82"/>
        <v/>
      </c>
      <c r="BV162" s="10"/>
      <c r="BW162" s="5" t="str">
        <f t="shared" si="83"/>
        <v/>
      </c>
      <c r="BX162" s="5" t="str">
        <f t="shared" si="84"/>
        <v/>
      </c>
      <c r="BY162"/>
      <c r="BZ162" s="5" t="str">
        <f t="shared" si="85"/>
        <v>X</v>
      </c>
      <c r="CA162" s="5" t="str">
        <f t="shared" si="86"/>
        <v/>
      </c>
      <c r="CB162" s="188" t="str">
        <f t="shared" si="87"/>
        <v/>
      </c>
    </row>
    <row r="163" spans="1:80" s="27" customFormat="1" ht="30" customHeight="1" x14ac:dyDescent="0.55000000000000004">
      <c r="A163" s="154">
        <v>25</v>
      </c>
      <c r="B163" s="104" t="s">
        <v>1607</v>
      </c>
      <c r="C163" s="154" t="s">
        <v>1895</v>
      </c>
      <c r="D163" s="154" t="s">
        <v>1896</v>
      </c>
      <c r="E163" s="154" t="s">
        <v>1897</v>
      </c>
      <c r="F163" s="154" t="s">
        <v>1898</v>
      </c>
      <c r="G163" s="154" t="s">
        <v>1899</v>
      </c>
      <c r="H163" s="154" t="s">
        <v>1900</v>
      </c>
      <c r="I163" s="104"/>
      <c r="J163" s="104"/>
      <c r="K163" s="142" t="s">
        <v>304</v>
      </c>
      <c r="L163" s="142"/>
      <c r="M163" s="142"/>
      <c r="N163" s="142" t="s">
        <v>85</v>
      </c>
      <c r="O163" s="142"/>
      <c r="P163" s="142"/>
      <c r="Q163" s="142"/>
      <c r="R163" s="142"/>
      <c r="S163" s="142" t="s">
        <v>345</v>
      </c>
      <c r="T163" s="142"/>
      <c r="U163" s="142" t="s">
        <v>1901</v>
      </c>
      <c r="V163" s="142" t="s">
        <v>122</v>
      </c>
      <c r="W163" s="142">
        <v>264</v>
      </c>
      <c r="X163" s="104" t="s">
        <v>1902</v>
      </c>
      <c r="Y163" s="104" t="s">
        <v>1903</v>
      </c>
      <c r="Z163" s="104" t="s">
        <v>1904</v>
      </c>
      <c r="AA163" s="104"/>
      <c r="AB163" s="104" t="s">
        <v>1905</v>
      </c>
      <c r="AC163" s="104" t="s">
        <v>1906</v>
      </c>
      <c r="AD163" s="142" t="s">
        <v>1907</v>
      </c>
      <c r="AE163" s="1"/>
      <c r="AF163" s="30" t="str" cm="1">
        <f t="array" ref="AF163">_xlfn.IFS(COUNTIF(Table14623576[[#This Row],[PBT/ vPvB]],"*X*"), 20, TRUE, "")</f>
        <v/>
      </c>
      <c r="AG163" s="30" t="str" cm="1">
        <f t="array" ref="AG163">_xlfn.IFS(COUNTIF(Table14623576[[#This Row],[Perturbateur Endocrinien]],"*X*"), 20, TRUE, "")</f>
        <v/>
      </c>
      <c r="AH163" s="30" t="str" cm="1">
        <f t="array" ref="AH163">_xlfn.IFS(COUNTIF(Table14623576[[#This Row],[Phrases H]],"*H350*"), 20, TRUE, "")</f>
        <v/>
      </c>
      <c r="AI163" s="30" t="str" cm="1">
        <f t="array" ref="AI163">_xlfn.IFS(COUNTIF(Table14623576[[#This Row],[Phrases H]],"*H360*"), 20, TRUE, "")</f>
        <v/>
      </c>
      <c r="AJ163" s="30" t="str" cm="1">
        <f t="array" ref="AJ163">_xlfn.IFS(COUNTIF(Table14623576[[#This Row],[Phrases H]],"*H340*"), 20, TRUE, "")</f>
        <v/>
      </c>
      <c r="AK163" s="30" t="str" cm="1">
        <f t="array" ref="AK163">_xlfn.IFS(COUNTIF(Table14623576[[#This Row],[Phrases H]],"*H351*"), 10, TRUE, "")</f>
        <v/>
      </c>
      <c r="AL163" s="30" t="str" cm="1">
        <f t="array" ref="AL163">_xlfn.IFS(COUNTIF(Table14623576[[#This Row],[Phrases H]],"*H361*"), 10, TRUE, "")</f>
        <v/>
      </c>
      <c r="AM163" s="30" t="str" cm="1">
        <f t="array" ref="AM163">_xlfn.IFS(COUNTIF(Table14623576[[#This Row],[Phrases H]],"*H362*"), 10, TRUE, "")</f>
        <v/>
      </c>
      <c r="AN163" s="30" t="str" cm="1">
        <f t="array" ref="AN163">_xlfn.IFS(COUNTIF(Table14623576[[#This Row],[Phrases H]],"*H341*"), 10, TRUE, "")</f>
        <v/>
      </c>
      <c r="AO163" s="30" t="str" cm="1">
        <f t="array" ref="AO163">_xlfn.IFS(COUNTIF(Table14623576[[#This Row],[Phrases H]],"*H372*"), 10, TRUE, "")</f>
        <v/>
      </c>
      <c r="AP163" s="30" t="str" cm="1">
        <f t="array" ref="AP163">_xlfn.IFS(COUNTIF(Table14623576[[#This Row],[Phrases H]],"*H410*"), 10, TRUE, "")</f>
        <v/>
      </c>
      <c r="AQ163" s="30" t="str" cm="1">
        <f t="array" ref="AQ163">_xlfn.IFS(COUNTIF(Table14623576[[#This Row],[Phrases H]],"*H373*"), 5, TRUE, "")</f>
        <v/>
      </c>
      <c r="AR163" s="30" t="str" cm="1">
        <f t="array" ref="AR163">_xlfn.IFS(COUNTIF(Table14623576[[#This Row],[Phrases H]],"*H411*"), 5, TRUE, "")</f>
        <v/>
      </c>
      <c r="AS163" s="112">
        <f t="shared" ref="AS163:AS180" si="97">SUM(AF163:AR163)</f>
        <v>0</v>
      </c>
      <c r="AT163" s="144" t="s">
        <v>1905</v>
      </c>
      <c r="AU163" s="144">
        <v>264</v>
      </c>
      <c r="AV163" s="114">
        <f t="shared" si="76"/>
        <v>30</v>
      </c>
      <c r="AW163" s="115" t="str">
        <f t="shared" si="96"/>
        <v>0</v>
      </c>
      <c r="AX163" s="116">
        <f t="shared" si="77"/>
        <v>0</v>
      </c>
      <c r="AY163" s="117">
        <f t="shared" si="78"/>
        <v>0</v>
      </c>
      <c r="AZ163" s="118" t="str">
        <f t="shared" si="89"/>
        <v>5</v>
      </c>
      <c r="BA163" s="119" t="str">
        <f t="shared" si="79"/>
        <v>5</v>
      </c>
      <c r="BB163" s="145"/>
      <c r="BC163" s="144">
        <v>10000</v>
      </c>
      <c r="BD163" s="113" t="s">
        <v>97</v>
      </c>
      <c r="BE163" s="120">
        <f t="shared" si="92"/>
        <v>20</v>
      </c>
      <c r="BF163" s="121" t="str">
        <f t="shared" ref="BF163:BF180" si="98">IF(BE163=25,"Production très élevée",IF(BE163=20,"Production élevée",IF(BE163=15,"Production modérée",IF(BE163=10,"Faible production",IF(BE163=5,"Très faible production","N/A")))))</f>
        <v>Production élevée</v>
      </c>
      <c r="BG163" s="122" t="str">
        <f t="shared" ref="BG163:BG180" si="99">IF(BE163&lt;=5,"E",IF(BE163&lt;=10,"D",IF(BE163&lt;=15,"C",IF(BE163&lt;=20,"B","A"))))</f>
        <v>B</v>
      </c>
      <c r="BH163" s="145"/>
      <c r="BI163" s="7"/>
      <c r="BJ163" s="130">
        <v>0</v>
      </c>
      <c r="BK163" s="7"/>
      <c r="BL163" s="131">
        <v>0</v>
      </c>
      <c r="BM163" s="132" t="s">
        <v>99</v>
      </c>
      <c r="BN163"/>
      <c r="BO163" s="60" t="str">
        <f t="shared" si="94"/>
        <v>Catégorie 5B NON</v>
      </c>
      <c r="BP163"/>
      <c r="BQ163" s="42" t="s">
        <v>88</v>
      </c>
      <c r="BR163"/>
      <c r="BS163" s="187" t="str">
        <f t="shared" si="80"/>
        <v/>
      </c>
      <c r="BT163" s="19" t="str">
        <f t="shared" si="81"/>
        <v/>
      </c>
      <c r="BU163" s="19" t="str">
        <f t="shared" si="82"/>
        <v/>
      </c>
      <c r="BV163" s="10"/>
      <c r="BW163" s="5" t="str">
        <f t="shared" si="83"/>
        <v/>
      </c>
      <c r="BX163" s="5" t="str">
        <f t="shared" si="84"/>
        <v/>
      </c>
      <c r="BY163"/>
      <c r="BZ163" s="5" t="str">
        <f t="shared" si="85"/>
        <v/>
      </c>
      <c r="CA163" s="5" t="str">
        <f t="shared" si="86"/>
        <v/>
      </c>
      <c r="CB163" s="188" t="str">
        <f t="shared" si="87"/>
        <v/>
      </c>
    </row>
    <row r="164" spans="1:80" s="27" customFormat="1" ht="30" customHeight="1" x14ac:dyDescent="0.55000000000000004">
      <c r="A164" s="154">
        <v>26</v>
      </c>
      <c r="B164" s="104" t="s">
        <v>1607</v>
      </c>
      <c r="C164" s="154" t="s">
        <v>1908</v>
      </c>
      <c r="D164" s="154" t="s">
        <v>1909</v>
      </c>
      <c r="E164" s="154" t="s">
        <v>1910</v>
      </c>
      <c r="F164" s="154" t="s">
        <v>1911</v>
      </c>
      <c r="G164" s="154" t="s">
        <v>1899</v>
      </c>
      <c r="H164" s="154" t="s">
        <v>1912</v>
      </c>
      <c r="I164" s="104"/>
      <c r="J164" s="104"/>
      <c r="K164" s="142" t="s">
        <v>1644</v>
      </c>
      <c r="L164" s="142"/>
      <c r="M164" s="142"/>
      <c r="N164" s="142" t="s">
        <v>85</v>
      </c>
      <c r="O164" s="142"/>
      <c r="P164" s="142"/>
      <c r="Q164" s="142"/>
      <c r="R164" s="142"/>
      <c r="S164" s="142" t="s">
        <v>345</v>
      </c>
      <c r="T164" s="142"/>
      <c r="U164" s="142" t="s">
        <v>1913</v>
      </c>
      <c r="V164" s="142" t="s">
        <v>173</v>
      </c>
      <c r="W164" s="142">
        <v>280</v>
      </c>
      <c r="X164" s="104">
        <v>0</v>
      </c>
      <c r="Y164" s="104" t="s">
        <v>1903</v>
      </c>
      <c r="Z164" s="104" t="s">
        <v>1914</v>
      </c>
      <c r="AA164" s="104"/>
      <c r="AB164" s="104" t="s">
        <v>1915</v>
      </c>
      <c r="AC164" s="104" t="s">
        <v>1916</v>
      </c>
      <c r="AD164" s="142" t="s">
        <v>1917</v>
      </c>
      <c r="AE164" s="1"/>
      <c r="AF164" s="30" t="str" cm="1">
        <f t="array" ref="AF164">_xlfn.IFS(COUNTIF(Table14623576[[#This Row],[PBT/ vPvB]],"*X*"), 20, TRUE, "")</f>
        <v/>
      </c>
      <c r="AG164" s="30" t="str" cm="1">
        <f t="array" ref="AG164">_xlfn.IFS(COUNTIF(Table14623576[[#This Row],[Perturbateur Endocrinien]],"*X*"), 20, TRUE, "")</f>
        <v/>
      </c>
      <c r="AH164" s="30" t="str" cm="1">
        <f t="array" ref="AH164">_xlfn.IFS(COUNTIF(Table14623576[[#This Row],[Phrases H]],"*H350*"), 20, TRUE, "")</f>
        <v/>
      </c>
      <c r="AI164" s="30" t="str" cm="1">
        <f t="array" ref="AI164">_xlfn.IFS(COUNTIF(Table14623576[[#This Row],[Phrases H]],"*H360*"), 20, TRUE, "")</f>
        <v/>
      </c>
      <c r="AJ164" s="30" t="str" cm="1">
        <f t="array" ref="AJ164">_xlfn.IFS(COUNTIF(Table14623576[[#This Row],[Phrases H]],"*H340*"), 20, TRUE, "")</f>
        <v/>
      </c>
      <c r="AK164" s="30" cm="1">
        <f t="array" ref="AK164">_xlfn.IFS(COUNTIF(Table14623576[[#This Row],[Phrases H]],"*H351*"), 10, TRUE, "")</f>
        <v>10</v>
      </c>
      <c r="AL164" s="30" t="str" cm="1">
        <f t="array" ref="AL164">_xlfn.IFS(COUNTIF(Table14623576[[#This Row],[Phrases H]],"*H361*"), 10, TRUE, "")</f>
        <v/>
      </c>
      <c r="AM164" s="30" t="str" cm="1">
        <f t="array" ref="AM164">_xlfn.IFS(COUNTIF(Table14623576[[#This Row],[Phrases H]],"*H362*"), 10, TRUE, "")</f>
        <v/>
      </c>
      <c r="AN164" s="30" t="str" cm="1">
        <f t="array" ref="AN164">_xlfn.IFS(COUNTIF(Table14623576[[#This Row],[Phrases H]],"*H341*"), 10, TRUE, "")</f>
        <v/>
      </c>
      <c r="AO164" s="30" t="str" cm="1">
        <f t="array" ref="AO164">_xlfn.IFS(COUNTIF(Table14623576[[#This Row],[Phrases H]],"*H372*"), 10, TRUE, "")</f>
        <v/>
      </c>
      <c r="AP164" s="30" t="str" cm="1">
        <f t="array" ref="AP164">_xlfn.IFS(COUNTIF(Table14623576[[#This Row],[Phrases H]],"*H410*"), 10, TRUE, "")</f>
        <v/>
      </c>
      <c r="AQ164" s="30" t="str" cm="1">
        <f t="array" ref="AQ164">_xlfn.IFS(COUNTIF(Table14623576[[#This Row],[Phrases H]],"*H373*"), 5, TRUE, "")</f>
        <v/>
      </c>
      <c r="AR164" s="30" t="str" cm="1">
        <f t="array" ref="AR164">_xlfn.IFS(COUNTIF(Table14623576[[#This Row],[Phrases H]],"*H411*"), 5, TRUE, "")</f>
        <v/>
      </c>
      <c r="AS164" s="112">
        <f t="shared" si="97"/>
        <v>10</v>
      </c>
      <c r="AT164" s="144" t="s">
        <v>1915</v>
      </c>
      <c r="AU164" s="144">
        <v>280</v>
      </c>
      <c r="AV164" s="114">
        <f t="shared" si="76"/>
        <v>30</v>
      </c>
      <c r="AW164" s="115" t="str">
        <f t="shared" si="96"/>
        <v>0</v>
      </c>
      <c r="AX164" s="116">
        <f t="shared" si="77"/>
        <v>10</v>
      </c>
      <c r="AY164" s="117">
        <f t="shared" si="78"/>
        <v>0.11764705882352941</v>
      </c>
      <c r="AZ164" s="118" t="str">
        <f t="shared" si="89"/>
        <v>5</v>
      </c>
      <c r="BA164" s="119" t="str">
        <f t="shared" si="79"/>
        <v>5</v>
      </c>
      <c r="BB164" s="145"/>
      <c r="BC164" s="144">
        <v>1000</v>
      </c>
      <c r="BD164" s="113" t="s">
        <v>97</v>
      </c>
      <c r="BE164" s="120">
        <f t="shared" si="92"/>
        <v>15</v>
      </c>
      <c r="BF164" s="121" t="str">
        <f t="shared" si="98"/>
        <v>Production modérée</v>
      </c>
      <c r="BG164" s="122" t="str">
        <f t="shared" si="99"/>
        <v>C</v>
      </c>
      <c r="BH164" s="145"/>
      <c r="BI164" s="7" t="s">
        <v>231</v>
      </c>
      <c r="BJ164" s="130">
        <v>1</v>
      </c>
      <c r="BK164" s="7" t="s">
        <v>231</v>
      </c>
      <c r="BL164" s="131">
        <v>1</v>
      </c>
      <c r="BM164" s="132" t="s">
        <v>131</v>
      </c>
      <c r="BN164"/>
      <c r="BO164" s="60" t="str">
        <f t="shared" si="94"/>
        <v>Catégorie 5C OUI</v>
      </c>
      <c r="BP164"/>
      <c r="BQ164" s="42" t="s">
        <v>1466</v>
      </c>
      <c r="BR164"/>
      <c r="BS164" s="187" t="str">
        <f t="shared" si="80"/>
        <v/>
      </c>
      <c r="BT164" s="19" t="str">
        <f t="shared" si="81"/>
        <v/>
      </c>
      <c r="BU164" s="19" t="str">
        <f t="shared" si="82"/>
        <v/>
      </c>
      <c r="BV164" s="10"/>
      <c r="BW164" s="5" t="str">
        <f t="shared" si="83"/>
        <v/>
      </c>
      <c r="BX164" s="5" t="str">
        <f t="shared" si="84"/>
        <v>X</v>
      </c>
      <c r="BY164"/>
      <c r="BZ164" s="5" t="str">
        <f t="shared" si="85"/>
        <v>X</v>
      </c>
      <c r="CA164" s="5" t="str">
        <f t="shared" si="86"/>
        <v>X</v>
      </c>
      <c r="CB164" s="188" t="str">
        <f t="shared" si="87"/>
        <v>X</v>
      </c>
    </row>
    <row r="165" spans="1:80" s="27" customFormat="1" ht="30" customHeight="1" x14ac:dyDescent="0.55000000000000004">
      <c r="A165" s="154">
        <v>27</v>
      </c>
      <c r="B165" s="104" t="s">
        <v>1607</v>
      </c>
      <c r="C165" s="154" t="s">
        <v>1918</v>
      </c>
      <c r="D165" s="154" t="s">
        <v>1919</v>
      </c>
      <c r="E165" s="154" t="s">
        <v>1920</v>
      </c>
      <c r="F165" s="154" t="s">
        <v>1921</v>
      </c>
      <c r="G165" s="154" t="s">
        <v>1922</v>
      </c>
      <c r="H165" s="141" t="s">
        <v>1923</v>
      </c>
      <c r="I165" s="104"/>
      <c r="J165" s="104"/>
      <c r="K165" s="142" t="s">
        <v>344</v>
      </c>
      <c r="L165" s="142"/>
      <c r="M165" s="142"/>
      <c r="N165" s="142"/>
      <c r="O165" s="142"/>
      <c r="P165" s="142"/>
      <c r="Q165" s="142"/>
      <c r="R165" s="142"/>
      <c r="S165" s="142" t="s">
        <v>345</v>
      </c>
      <c r="T165" s="142" t="s">
        <v>85</v>
      </c>
      <c r="U165" s="142" t="s">
        <v>108</v>
      </c>
      <c r="V165" s="142" t="s">
        <v>122</v>
      </c>
      <c r="W165" s="142" t="s">
        <v>1924</v>
      </c>
      <c r="X165" s="104" t="s">
        <v>1925</v>
      </c>
      <c r="Y165" s="104">
        <v>0</v>
      </c>
      <c r="Z165" s="104" t="s">
        <v>1926</v>
      </c>
      <c r="AA165" s="104"/>
      <c r="AB165" s="104" t="s">
        <v>1927</v>
      </c>
      <c r="AC165" s="104" t="s">
        <v>1928</v>
      </c>
      <c r="AD165" s="142" t="s">
        <v>1929</v>
      </c>
      <c r="AE165" s="1"/>
      <c r="AF165" s="30" t="str" cm="1">
        <f t="array" ref="AF165">_xlfn.IFS(COUNTIF(Table14623576[[#This Row],[PBT/ vPvB]],"*X*"), 20, TRUE, "")</f>
        <v/>
      </c>
      <c r="AG165" s="30" cm="1">
        <f t="array" ref="AG165">_xlfn.IFS(COUNTIF(Table14623576[[#This Row],[Perturbateur Endocrinien]],"*X*"), 20, TRUE, "")</f>
        <v>20</v>
      </c>
      <c r="AH165" s="30" t="str" cm="1">
        <f t="array" ref="AH165">_xlfn.IFS(COUNTIF(Table14623576[[#This Row],[Phrases H]],"*H350*"), 20, TRUE, "")</f>
        <v/>
      </c>
      <c r="AI165" s="30" t="str" cm="1">
        <f t="array" ref="AI165">_xlfn.IFS(COUNTIF(Table14623576[[#This Row],[Phrases H]],"*H360*"), 20, TRUE, "")</f>
        <v/>
      </c>
      <c r="AJ165" s="30" t="str" cm="1">
        <f t="array" ref="AJ165">_xlfn.IFS(COUNTIF(Table14623576[[#This Row],[Phrases H]],"*H340*"), 20, TRUE, "")</f>
        <v/>
      </c>
      <c r="AK165" s="30" t="str" cm="1">
        <f t="array" ref="AK165">_xlfn.IFS(COUNTIF(Table14623576[[#This Row],[Phrases H]],"*H351*"), 10, TRUE, "")</f>
        <v/>
      </c>
      <c r="AL165" s="30" t="str" cm="1">
        <f t="array" ref="AL165">_xlfn.IFS(COUNTIF(Table14623576[[#This Row],[Phrases H]],"*H361*"), 10, TRUE, "")</f>
        <v/>
      </c>
      <c r="AM165" s="30" t="str" cm="1">
        <f t="array" ref="AM165">_xlfn.IFS(COUNTIF(Table14623576[[#This Row],[Phrases H]],"*H362*"), 10, TRUE, "")</f>
        <v/>
      </c>
      <c r="AN165" s="30" t="str" cm="1">
        <f t="array" ref="AN165">_xlfn.IFS(COUNTIF(Table14623576[[#This Row],[Phrases H]],"*H341*"), 10, TRUE, "")</f>
        <v/>
      </c>
      <c r="AO165" s="30" t="str" cm="1">
        <f t="array" ref="AO165">_xlfn.IFS(COUNTIF(Table14623576[[#This Row],[Phrases H]],"*H372*"), 10, TRUE, "")</f>
        <v/>
      </c>
      <c r="AP165" s="30" t="str" cm="1">
        <f t="array" ref="AP165">_xlfn.IFS(COUNTIF(Table14623576[[#This Row],[Phrases H]],"*H410*"), 10, TRUE, "")</f>
        <v/>
      </c>
      <c r="AQ165" s="30" t="str" cm="1">
        <f t="array" ref="AQ165">_xlfn.IFS(COUNTIF(Table14623576[[#This Row],[Phrases H]],"*H373*"), 5, TRUE, "")</f>
        <v/>
      </c>
      <c r="AR165" s="30" t="str" cm="1">
        <f t="array" ref="AR165">_xlfn.IFS(COUNTIF(Table14623576[[#This Row],[Phrases H]],"*H411*"), 5, TRUE, "")</f>
        <v/>
      </c>
      <c r="AS165" s="112">
        <f t="shared" si="97"/>
        <v>20</v>
      </c>
      <c r="AT165" s="144" t="s">
        <v>1927</v>
      </c>
      <c r="AU165" s="144" t="s">
        <v>1924</v>
      </c>
      <c r="AV165" s="114">
        <f t="shared" si="76"/>
        <v>50</v>
      </c>
      <c r="AW165" s="115" t="str">
        <f t="shared" si="96"/>
        <v>0</v>
      </c>
      <c r="AX165" s="116">
        <f t="shared" ref="AX165:AX180" si="100">AS165+AW165</f>
        <v>20</v>
      </c>
      <c r="AY165" s="117">
        <f t="shared" ref="AY165:AY180" si="101">AX165/85</f>
        <v>0.23529411764705882</v>
      </c>
      <c r="AZ165" s="118" t="str">
        <f t="shared" si="89"/>
        <v>4</v>
      </c>
      <c r="BA165" s="119" t="str">
        <f t="shared" ref="BA165:BA180" si="102">IF(AX165&lt;=17,"5",IF(AX165&lt;=34,"4",IF(AX165&lt;=51,"3",IF(AX165&lt;=68,"2","1"))))</f>
        <v>4</v>
      </c>
      <c r="BB165" s="145"/>
      <c r="BC165" s="144">
        <v>100</v>
      </c>
      <c r="BD165" s="113" t="s">
        <v>97</v>
      </c>
      <c r="BE165" s="120">
        <f t="shared" si="92"/>
        <v>10</v>
      </c>
      <c r="BF165" s="121" t="str">
        <f t="shared" si="98"/>
        <v>Faible production</v>
      </c>
      <c r="BG165" s="122" t="str">
        <f t="shared" si="99"/>
        <v>D</v>
      </c>
      <c r="BH165" s="145"/>
      <c r="BI165" s="7"/>
      <c r="BJ165" s="130">
        <v>0</v>
      </c>
      <c r="BK165" s="7"/>
      <c r="BL165" s="131">
        <v>0</v>
      </c>
      <c r="BM165" s="132" t="s">
        <v>99</v>
      </c>
      <c r="BN165"/>
      <c r="BO165" s="60" t="str">
        <f t="shared" si="94"/>
        <v>Catégorie 4D NON</v>
      </c>
      <c r="BP165"/>
      <c r="BQ165" s="42" t="s">
        <v>88</v>
      </c>
      <c r="BR165"/>
      <c r="BS165" s="187" t="str">
        <f t="shared" ref="BS165:BS180" si="103">IF(AY165&gt;=0.4,"X","")</f>
        <v/>
      </c>
      <c r="BT165" s="19" t="str">
        <f t="shared" ref="BT165:BT180" si="104">IF(AY165&gt;=0.5,"X","")</f>
        <v/>
      </c>
      <c r="BU165" s="19" t="str">
        <f t="shared" ref="BU165:BU180" si="105">IF(AY165&gt;=0.6,"X","")</f>
        <v/>
      </c>
      <c r="BV165" s="10"/>
      <c r="BW165" s="5" t="str">
        <f t="shared" ref="BW165:BW180" si="106">IF(OR(BG165="D", BG165="E"), "X", "")</f>
        <v>X</v>
      </c>
      <c r="BX165" s="5" t="str">
        <f t="shared" ref="BX165:BX180" si="107">IF(BM165="OUI", "X", "")</f>
        <v/>
      </c>
      <c r="BY165"/>
      <c r="BZ165" s="5" t="str">
        <f t="shared" ref="BZ165:BZ180" si="108">IF(OR(AND(BS165="X", BW165&lt;&gt;"X"), AND(BX165="X")), "X", "")</f>
        <v/>
      </c>
      <c r="CA165" s="5" t="str">
        <f t="shared" ref="CA165:CA180" si="109">IF(OR(AND(BT165="X", BW165&lt;&gt;"X"), AND(BX165="X")), "X", "")</f>
        <v/>
      </c>
      <c r="CB165" s="188" t="str">
        <f t="shared" ref="CB165:CB180" si="110">IF(OR(AND(BU165="X", BW165&lt;&gt;"X"), AND(BX165="X")), "X", "")</f>
        <v/>
      </c>
    </row>
    <row r="166" spans="1:80" s="27" customFormat="1" ht="30" customHeight="1" x14ac:dyDescent="0.55000000000000004">
      <c r="A166" s="154">
        <v>28</v>
      </c>
      <c r="B166" s="104" t="s">
        <v>1607</v>
      </c>
      <c r="C166" s="154" t="s">
        <v>1930</v>
      </c>
      <c r="D166" s="154" t="s">
        <v>77</v>
      </c>
      <c r="E166" s="154" t="s">
        <v>1931</v>
      </c>
      <c r="F166" s="154" t="s">
        <v>1932</v>
      </c>
      <c r="G166" s="154" t="s">
        <v>1933</v>
      </c>
      <c r="H166" s="154" t="s">
        <v>1934</v>
      </c>
      <c r="I166" s="104"/>
      <c r="J166" s="104"/>
      <c r="K166" s="142" t="s">
        <v>304</v>
      </c>
      <c r="L166" s="142"/>
      <c r="M166" s="142"/>
      <c r="N166" s="142" t="s">
        <v>85</v>
      </c>
      <c r="O166" s="142"/>
      <c r="P166" s="142"/>
      <c r="Q166" s="142"/>
      <c r="R166" s="142"/>
      <c r="S166" s="142" t="s">
        <v>345</v>
      </c>
      <c r="T166" s="142"/>
      <c r="U166" s="142" t="s">
        <v>108</v>
      </c>
      <c r="V166" s="142" t="s">
        <v>122</v>
      </c>
      <c r="W166" s="142">
        <v>58100</v>
      </c>
      <c r="X166" s="104" t="s">
        <v>1935</v>
      </c>
      <c r="Y166" s="104">
        <v>0</v>
      </c>
      <c r="Z166" s="104" t="s">
        <v>1936</v>
      </c>
      <c r="AA166" s="104"/>
      <c r="AB166" s="104" t="s">
        <v>1937</v>
      </c>
      <c r="AC166" s="104" t="s">
        <v>1938</v>
      </c>
      <c r="AD166" s="142" t="s">
        <v>1939</v>
      </c>
      <c r="AE166" s="1"/>
      <c r="AF166" s="30" t="str" cm="1">
        <f t="array" ref="AF166">_xlfn.IFS(COUNTIF(Table14623576[[#This Row],[PBT/ vPvB]],"*X*"), 20, TRUE, "")</f>
        <v/>
      </c>
      <c r="AG166" s="30" t="str" cm="1">
        <f t="array" ref="AG166">_xlfn.IFS(COUNTIF(Table14623576[[#This Row],[Perturbateur Endocrinien]],"*X*"), 20, TRUE, "")</f>
        <v/>
      </c>
      <c r="AH166" s="30" t="str" cm="1">
        <f t="array" ref="AH166">_xlfn.IFS(COUNTIF(Table14623576[[#This Row],[Phrases H]],"*H350*"), 20, TRUE, "")</f>
        <v/>
      </c>
      <c r="AI166" s="30" t="str" cm="1">
        <f t="array" ref="AI166">_xlfn.IFS(COUNTIF(Table14623576[[#This Row],[Phrases H]],"*H360*"), 20, TRUE, "")</f>
        <v/>
      </c>
      <c r="AJ166" s="30" t="str" cm="1">
        <f t="array" ref="AJ166">_xlfn.IFS(COUNTIF(Table14623576[[#This Row],[Phrases H]],"*H340*"), 20, TRUE, "")</f>
        <v/>
      </c>
      <c r="AK166" s="30" t="str" cm="1">
        <f t="array" ref="AK166">_xlfn.IFS(COUNTIF(Table14623576[[#This Row],[Phrases H]],"*H351*"), 10, TRUE, "")</f>
        <v/>
      </c>
      <c r="AL166" s="30" t="str" cm="1">
        <f t="array" ref="AL166">_xlfn.IFS(COUNTIF(Table14623576[[#This Row],[Phrases H]],"*H361*"), 10, TRUE, "")</f>
        <v/>
      </c>
      <c r="AM166" s="30" t="str" cm="1">
        <f t="array" ref="AM166">_xlfn.IFS(COUNTIF(Table14623576[[#This Row],[Phrases H]],"*H362*"), 10, TRUE, "")</f>
        <v/>
      </c>
      <c r="AN166" s="30" t="str" cm="1">
        <f t="array" ref="AN166">_xlfn.IFS(COUNTIF(Table14623576[[#This Row],[Phrases H]],"*H341*"), 10, TRUE, "")</f>
        <v/>
      </c>
      <c r="AO166" s="30" t="str" cm="1">
        <f t="array" ref="AO166">_xlfn.IFS(COUNTIF(Table14623576[[#This Row],[Phrases H]],"*H372*"), 10, TRUE, "")</f>
        <v/>
      </c>
      <c r="AP166" s="30" t="str" cm="1">
        <f t="array" ref="AP166">_xlfn.IFS(COUNTIF(Table14623576[[#This Row],[Phrases H]],"*H410*"), 10, TRUE, "")</f>
        <v/>
      </c>
      <c r="AQ166" s="30" t="str" cm="1">
        <f t="array" ref="AQ166">_xlfn.IFS(COUNTIF(Table14623576[[#This Row],[Phrases H]],"*H373*"), 5, TRUE, "")</f>
        <v/>
      </c>
      <c r="AR166" s="30" t="str" cm="1">
        <f t="array" ref="AR166">_xlfn.IFS(COUNTIF(Table14623576[[#This Row],[Phrases H]],"*H411*"), 5, TRUE, "")</f>
        <v/>
      </c>
      <c r="AS166" s="112">
        <f t="shared" si="97"/>
        <v>0</v>
      </c>
      <c r="AT166" s="144" t="s">
        <v>1937</v>
      </c>
      <c r="AU166" s="144">
        <v>58100</v>
      </c>
      <c r="AV166" s="114">
        <f t="shared" si="76"/>
        <v>40</v>
      </c>
      <c r="AW166" s="115" t="str">
        <f t="shared" si="96"/>
        <v>0</v>
      </c>
      <c r="AX166" s="116">
        <f t="shared" si="100"/>
        <v>0</v>
      </c>
      <c r="AY166" s="117">
        <f t="shared" si="101"/>
        <v>0</v>
      </c>
      <c r="AZ166" s="118" t="str">
        <f t="shared" si="89"/>
        <v>5</v>
      </c>
      <c r="BA166" s="119" t="str">
        <f t="shared" si="102"/>
        <v>5</v>
      </c>
      <c r="BB166" s="145"/>
      <c r="BC166" s="144">
        <v>10000</v>
      </c>
      <c r="BD166" s="113" t="s">
        <v>97</v>
      </c>
      <c r="BE166" s="120">
        <f t="shared" si="92"/>
        <v>20</v>
      </c>
      <c r="BF166" s="121" t="str">
        <f t="shared" si="98"/>
        <v>Production élevée</v>
      </c>
      <c r="BG166" s="122" t="str">
        <f t="shared" si="99"/>
        <v>B</v>
      </c>
      <c r="BH166" s="145"/>
      <c r="BI166" s="7"/>
      <c r="BJ166" s="130">
        <v>0</v>
      </c>
      <c r="BK166" s="7"/>
      <c r="BL166" s="131">
        <v>0</v>
      </c>
      <c r="BM166" s="132" t="s">
        <v>99</v>
      </c>
      <c r="BN166"/>
      <c r="BO166" s="60" t="str">
        <f t="shared" si="94"/>
        <v>Catégorie 5B NON</v>
      </c>
      <c r="BP166"/>
      <c r="BQ166" s="42" t="s">
        <v>88</v>
      </c>
      <c r="BR166"/>
      <c r="BS166" s="187" t="str">
        <f t="shared" si="103"/>
        <v/>
      </c>
      <c r="BT166" s="19" t="str">
        <f t="shared" si="104"/>
        <v/>
      </c>
      <c r="BU166" s="19" t="str">
        <f t="shared" si="105"/>
        <v/>
      </c>
      <c r="BV166" s="10"/>
      <c r="BW166" s="5" t="str">
        <f t="shared" si="106"/>
        <v/>
      </c>
      <c r="BX166" s="5" t="str">
        <f t="shared" si="107"/>
        <v/>
      </c>
      <c r="BY166"/>
      <c r="BZ166" s="5" t="str">
        <f t="shared" si="108"/>
        <v/>
      </c>
      <c r="CA166" s="5" t="str">
        <f t="shared" si="109"/>
        <v/>
      </c>
      <c r="CB166" s="188" t="str">
        <f t="shared" si="110"/>
        <v/>
      </c>
    </row>
    <row r="167" spans="1:80" s="27" customFormat="1" ht="30" customHeight="1" x14ac:dyDescent="0.55000000000000004">
      <c r="A167" s="154">
        <v>29</v>
      </c>
      <c r="B167" s="104" t="s">
        <v>1607</v>
      </c>
      <c r="C167" s="154" t="s">
        <v>1940</v>
      </c>
      <c r="D167" s="154" t="s">
        <v>1941</v>
      </c>
      <c r="E167" s="141" t="s">
        <v>1942</v>
      </c>
      <c r="F167" s="154" t="s">
        <v>1943</v>
      </c>
      <c r="G167" s="154" t="s">
        <v>1944</v>
      </c>
      <c r="H167" s="141" t="s">
        <v>1945</v>
      </c>
      <c r="I167" s="104"/>
      <c r="J167" s="104"/>
      <c r="K167" s="142" t="s">
        <v>1946</v>
      </c>
      <c r="L167" s="142"/>
      <c r="M167" s="142"/>
      <c r="N167" s="142" t="s">
        <v>85</v>
      </c>
      <c r="O167" s="142"/>
      <c r="P167" s="142"/>
      <c r="Q167" s="142"/>
      <c r="R167" s="142"/>
      <c r="S167" s="142" t="s">
        <v>1794</v>
      </c>
      <c r="T167" s="142"/>
      <c r="U167" s="142" t="s">
        <v>108</v>
      </c>
      <c r="V167" s="142" t="s">
        <v>122</v>
      </c>
      <c r="W167" s="142" t="s">
        <v>1947</v>
      </c>
      <c r="X167" s="104" t="s">
        <v>1948</v>
      </c>
      <c r="Y167" s="104" t="s">
        <v>1949</v>
      </c>
      <c r="Z167" s="104" t="s">
        <v>1950</v>
      </c>
      <c r="AA167" s="104"/>
      <c r="AB167" s="104" t="s">
        <v>1951</v>
      </c>
      <c r="AC167" s="104" t="s">
        <v>1952</v>
      </c>
      <c r="AD167" s="142" t="s">
        <v>1953</v>
      </c>
      <c r="AE167" s="1"/>
      <c r="AF167" s="30" t="str" cm="1">
        <f t="array" ref="AF167">_xlfn.IFS(COUNTIF(Table14623576[[#This Row],[PBT/ vPvB]],"*X*"), 20, TRUE, "")</f>
        <v/>
      </c>
      <c r="AG167" s="30" t="str" cm="1">
        <f t="array" ref="AG167">_xlfn.IFS(COUNTIF(Table14623576[[#This Row],[Perturbateur Endocrinien]],"*X*"), 20, TRUE, "")</f>
        <v/>
      </c>
      <c r="AH167" s="30" t="str" cm="1">
        <f t="array" ref="AH167">_xlfn.IFS(COUNTIF(Table14623576[[#This Row],[Phrases H]],"*H350*"), 20, TRUE, "")</f>
        <v/>
      </c>
      <c r="AI167" s="30" t="str" cm="1">
        <f t="array" ref="AI167">_xlfn.IFS(COUNTIF(Table14623576[[#This Row],[Phrases H]],"*H360*"), 20, TRUE, "")</f>
        <v/>
      </c>
      <c r="AJ167" s="30" t="str" cm="1">
        <f t="array" ref="AJ167">_xlfn.IFS(COUNTIF(Table14623576[[#This Row],[Phrases H]],"*H340*"), 20, TRUE, "")</f>
        <v/>
      </c>
      <c r="AK167" s="30" t="str" cm="1">
        <f t="array" ref="AK167">_xlfn.IFS(COUNTIF(Table14623576[[#This Row],[Phrases H]],"*H351*"), 10, TRUE, "")</f>
        <v/>
      </c>
      <c r="AL167" s="30" t="str" cm="1">
        <f t="array" ref="AL167">_xlfn.IFS(COUNTIF(Table14623576[[#This Row],[Phrases H]],"*H361*"), 10, TRUE, "")</f>
        <v/>
      </c>
      <c r="AM167" s="30" t="str" cm="1">
        <f t="array" ref="AM167">_xlfn.IFS(COUNTIF(Table14623576[[#This Row],[Phrases H]],"*H362*"), 10, TRUE, "")</f>
        <v/>
      </c>
      <c r="AN167" s="30" t="str" cm="1">
        <f t="array" ref="AN167">_xlfn.IFS(COUNTIF(Table14623576[[#This Row],[Phrases H]],"*H341*"), 10, TRUE, "")</f>
        <v/>
      </c>
      <c r="AO167" s="30" t="str" cm="1">
        <f t="array" ref="AO167">_xlfn.IFS(COUNTIF(Table14623576[[#This Row],[Phrases H]],"*H372*"), 10, TRUE, "")</f>
        <v/>
      </c>
      <c r="AP167" s="30" t="str" cm="1">
        <f t="array" ref="AP167">_xlfn.IFS(COUNTIF(Table14623576[[#This Row],[Phrases H]],"*H410*"), 10, TRUE, "")</f>
        <v/>
      </c>
      <c r="AQ167" s="30" t="str" cm="1">
        <f t="array" ref="AQ167">_xlfn.IFS(COUNTIF(Table14623576[[#This Row],[Phrases H]],"*H373*"), 5, TRUE, "")</f>
        <v/>
      </c>
      <c r="AR167" s="30" t="str" cm="1">
        <f t="array" ref="AR167">_xlfn.IFS(COUNTIF(Table14623576[[#This Row],[Phrases H]],"*H411*"), 5, TRUE, "")</f>
        <v/>
      </c>
      <c r="AS167" s="112">
        <f t="shared" si="97"/>
        <v>0</v>
      </c>
      <c r="AT167" s="144" t="s">
        <v>1951</v>
      </c>
      <c r="AU167" s="144" t="s">
        <v>1947</v>
      </c>
      <c r="AV167" s="114">
        <f t="shared" si="76"/>
        <v>50</v>
      </c>
      <c r="AW167" s="115" t="str">
        <f t="shared" si="96"/>
        <v>0</v>
      </c>
      <c r="AX167" s="116">
        <f t="shared" si="100"/>
        <v>0</v>
      </c>
      <c r="AY167" s="117">
        <f t="shared" si="101"/>
        <v>0</v>
      </c>
      <c r="AZ167" s="118" t="str">
        <f t="shared" si="89"/>
        <v>5</v>
      </c>
      <c r="BA167" s="119" t="str">
        <f t="shared" si="102"/>
        <v>5</v>
      </c>
      <c r="BB167" s="145"/>
      <c r="BC167" s="144">
        <v>100000</v>
      </c>
      <c r="BD167" s="113" t="s">
        <v>97</v>
      </c>
      <c r="BE167" s="120">
        <f t="shared" si="92"/>
        <v>25</v>
      </c>
      <c r="BF167" s="121" t="str">
        <f t="shared" si="98"/>
        <v>Production très élevée</v>
      </c>
      <c r="BG167" s="122" t="str">
        <f t="shared" si="99"/>
        <v>A</v>
      </c>
      <c r="BH167" s="145"/>
      <c r="BI167" s="7"/>
      <c r="BJ167" s="130">
        <v>0</v>
      </c>
      <c r="BK167" s="7"/>
      <c r="BL167" s="131">
        <v>0</v>
      </c>
      <c r="BM167" s="132" t="s">
        <v>99</v>
      </c>
      <c r="BN167"/>
      <c r="BO167" s="60" t="str">
        <f t="shared" si="94"/>
        <v>Catégorie 5A NON</v>
      </c>
      <c r="BP167"/>
      <c r="BQ167" s="42" t="s">
        <v>88</v>
      </c>
      <c r="BR167"/>
      <c r="BS167" s="187" t="str">
        <f t="shared" si="103"/>
        <v/>
      </c>
      <c r="BT167" s="19" t="str">
        <f t="shared" si="104"/>
        <v/>
      </c>
      <c r="BU167" s="19" t="str">
        <f t="shared" si="105"/>
        <v/>
      </c>
      <c r="BV167" s="10"/>
      <c r="BW167" s="5" t="str">
        <f t="shared" si="106"/>
        <v/>
      </c>
      <c r="BX167" s="5" t="str">
        <f t="shared" si="107"/>
        <v/>
      </c>
      <c r="BY167"/>
      <c r="BZ167" s="5" t="str">
        <f t="shared" si="108"/>
        <v/>
      </c>
      <c r="CA167" s="5" t="str">
        <f t="shared" si="109"/>
        <v/>
      </c>
      <c r="CB167" s="188" t="str">
        <f t="shared" si="110"/>
        <v/>
      </c>
    </row>
    <row r="168" spans="1:80" s="27" customFormat="1" ht="43" customHeight="1" x14ac:dyDescent="0.55000000000000004">
      <c r="A168" s="154">
        <v>30</v>
      </c>
      <c r="B168" s="104" t="s">
        <v>1607</v>
      </c>
      <c r="C168" s="154" t="s">
        <v>1954</v>
      </c>
      <c r="D168" s="154" t="s">
        <v>1955</v>
      </c>
      <c r="E168" s="154" t="s">
        <v>1956</v>
      </c>
      <c r="F168" s="154" t="s">
        <v>1957</v>
      </c>
      <c r="G168" s="154" t="s">
        <v>1958</v>
      </c>
      <c r="H168" s="141" t="s">
        <v>1959</v>
      </c>
      <c r="I168" s="104"/>
      <c r="J168" s="104"/>
      <c r="K168" s="142" t="s">
        <v>1774</v>
      </c>
      <c r="L168" s="142"/>
      <c r="M168" s="142" t="s">
        <v>85</v>
      </c>
      <c r="N168" s="142"/>
      <c r="O168" s="142"/>
      <c r="P168" s="142"/>
      <c r="Q168" s="142" t="s">
        <v>85</v>
      </c>
      <c r="R168" s="142"/>
      <c r="S168" s="142" t="s">
        <v>1794</v>
      </c>
      <c r="T168" s="142"/>
      <c r="U168" s="142" t="s">
        <v>1960</v>
      </c>
      <c r="V168" s="142" t="s">
        <v>173</v>
      </c>
      <c r="W168" s="142" t="s">
        <v>1961</v>
      </c>
      <c r="X168" s="104" t="s">
        <v>1962</v>
      </c>
      <c r="Y168" s="104" t="s">
        <v>1963</v>
      </c>
      <c r="Z168" s="104" t="s">
        <v>1964</v>
      </c>
      <c r="AA168" s="104"/>
      <c r="AB168" s="104" t="s">
        <v>1965</v>
      </c>
      <c r="AC168" s="104" t="s">
        <v>1966</v>
      </c>
      <c r="AD168" s="142" t="s">
        <v>1967</v>
      </c>
      <c r="AE168" s="1"/>
      <c r="AF168" s="30" t="str" cm="1">
        <f t="array" ref="AF168">_xlfn.IFS(COUNTIF(Table14623576[[#This Row],[PBT/ vPvB]],"*X*"), 20, TRUE, "")</f>
        <v/>
      </c>
      <c r="AG168" s="30" t="str" cm="1">
        <f t="array" ref="AG168">_xlfn.IFS(COUNTIF(Table14623576[[#This Row],[Perturbateur Endocrinien]],"*X*"), 20, TRUE, "")</f>
        <v/>
      </c>
      <c r="AH168" s="30" t="str" cm="1">
        <f t="array" ref="AH168">_xlfn.IFS(COUNTIF(Table14623576[[#This Row],[Phrases H]],"*H350*"), 20, TRUE, "")</f>
        <v/>
      </c>
      <c r="AI168" s="30" t="str" cm="1">
        <f t="array" ref="AI168">_xlfn.IFS(COUNTIF(Table14623576[[#This Row],[Phrases H]],"*H360*"), 20, TRUE, "")</f>
        <v/>
      </c>
      <c r="AJ168" s="30" t="str" cm="1">
        <f t="array" ref="AJ168">_xlfn.IFS(COUNTIF(Table14623576[[#This Row],[Phrases H]],"*H340*"), 20, TRUE, "")</f>
        <v/>
      </c>
      <c r="AK168" s="30" cm="1">
        <f t="array" ref="AK168">_xlfn.IFS(COUNTIF(Table14623576[[#This Row],[Phrases H]],"*H351*"), 10, TRUE, "")</f>
        <v>10</v>
      </c>
      <c r="AL168" s="30" t="str" cm="1">
        <f t="array" ref="AL168">_xlfn.IFS(COUNTIF(Table14623576[[#This Row],[Phrases H]],"*H361*"), 10, TRUE, "")</f>
        <v/>
      </c>
      <c r="AM168" s="30" t="str" cm="1">
        <f t="array" ref="AM168">_xlfn.IFS(COUNTIF(Table14623576[[#This Row],[Phrases H]],"*H362*"), 10, TRUE, "")</f>
        <v/>
      </c>
      <c r="AN168" s="30" t="str" cm="1">
        <f t="array" ref="AN168">_xlfn.IFS(COUNTIF(Table14623576[[#This Row],[Phrases H]],"*H341*"), 10, TRUE, "")</f>
        <v/>
      </c>
      <c r="AO168" s="30" t="str" cm="1">
        <f t="array" ref="AO168">_xlfn.IFS(COUNTIF(Table14623576[[#This Row],[Phrases H]],"*H372*"), 10, TRUE, "")</f>
        <v/>
      </c>
      <c r="AP168" s="30" cm="1">
        <f t="array" ref="AP168">_xlfn.IFS(COUNTIF(Table14623576[[#This Row],[Phrases H]],"*H410*"), 10, TRUE, "")</f>
        <v>10</v>
      </c>
      <c r="AQ168" s="30" t="str" cm="1">
        <f t="array" ref="AQ168">_xlfn.IFS(COUNTIF(Table14623576[[#This Row],[Phrases H]],"*H373*"), 5, TRUE, "")</f>
        <v/>
      </c>
      <c r="AR168" s="30" t="str" cm="1">
        <f t="array" ref="AR168">_xlfn.IFS(COUNTIF(Table14623576[[#This Row],[Phrases H]],"*H411*"), 5, TRUE, "")</f>
        <v/>
      </c>
      <c r="AS168" s="112">
        <f t="shared" si="97"/>
        <v>20</v>
      </c>
      <c r="AT168" s="144" t="s">
        <v>1965</v>
      </c>
      <c r="AU168" s="144" t="s">
        <v>1961</v>
      </c>
      <c r="AV168" s="114">
        <f t="shared" si="76"/>
        <v>50</v>
      </c>
      <c r="AW168" s="115" t="str">
        <f t="shared" si="96"/>
        <v>0</v>
      </c>
      <c r="AX168" s="116">
        <f t="shared" si="100"/>
        <v>20</v>
      </c>
      <c r="AY168" s="117">
        <f t="shared" si="101"/>
        <v>0.23529411764705882</v>
      </c>
      <c r="AZ168" s="118" t="str">
        <f t="shared" si="89"/>
        <v>4</v>
      </c>
      <c r="BA168" s="119" t="str">
        <f t="shared" si="102"/>
        <v>4</v>
      </c>
      <c r="BB168" s="145"/>
      <c r="BC168" s="144">
        <v>1000000</v>
      </c>
      <c r="BD168" s="113" t="s">
        <v>97</v>
      </c>
      <c r="BE168" s="120">
        <f t="shared" si="92"/>
        <v>25</v>
      </c>
      <c r="BF168" s="121" t="str">
        <f t="shared" si="98"/>
        <v>Production très élevée</v>
      </c>
      <c r="BG168" s="122" t="str">
        <f t="shared" si="99"/>
        <v>A</v>
      </c>
      <c r="BH168" s="145"/>
      <c r="BI168" s="7" t="s">
        <v>1968</v>
      </c>
      <c r="BJ168" s="130">
        <v>3</v>
      </c>
      <c r="BK168" s="7" t="s">
        <v>1968</v>
      </c>
      <c r="BL168" s="131">
        <v>3</v>
      </c>
      <c r="BM168" s="132" t="s">
        <v>131</v>
      </c>
      <c r="BN168"/>
      <c r="BO168" s="60" t="str">
        <f t="shared" si="94"/>
        <v>Catégorie 4A OUI</v>
      </c>
      <c r="BP168"/>
      <c r="BQ168" s="42" t="s">
        <v>1466</v>
      </c>
      <c r="BR168"/>
      <c r="BS168" s="187" t="str">
        <f t="shared" si="103"/>
        <v/>
      </c>
      <c r="BT168" s="19" t="str">
        <f t="shared" si="104"/>
        <v/>
      </c>
      <c r="BU168" s="19" t="str">
        <f t="shared" si="105"/>
        <v/>
      </c>
      <c r="BV168" s="10"/>
      <c r="BW168" s="5" t="str">
        <f t="shared" si="106"/>
        <v/>
      </c>
      <c r="BX168" s="5" t="str">
        <f t="shared" si="107"/>
        <v>X</v>
      </c>
      <c r="BY168"/>
      <c r="BZ168" s="5" t="str">
        <f t="shared" si="108"/>
        <v>X</v>
      </c>
      <c r="CA168" s="5" t="str">
        <f t="shared" si="109"/>
        <v>X</v>
      </c>
      <c r="CB168" s="188" t="str">
        <f t="shared" si="110"/>
        <v>X</v>
      </c>
    </row>
    <row r="169" spans="1:80" s="27" customFormat="1" ht="30" customHeight="1" x14ac:dyDescent="0.55000000000000004">
      <c r="A169" s="154">
        <v>31</v>
      </c>
      <c r="B169" s="104" t="s">
        <v>1607</v>
      </c>
      <c r="C169" s="154" t="s">
        <v>1969</v>
      </c>
      <c r="D169" s="154" t="s">
        <v>1970</v>
      </c>
      <c r="E169" s="155" t="s">
        <v>1971</v>
      </c>
      <c r="F169" s="154" t="s">
        <v>1972</v>
      </c>
      <c r="G169" s="154" t="s">
        <v>88</v>
      </c>
      <c r="H169" s="141" t="s">
        <v>88</v>
      </c>
      <c r="I169" s="104"/>
      <c r="J169" s="104"/>
      <c r="K169" s="142" t="s">
        <v>1973</v>
      </c>
      <c r="L169" s="142"/>
      <c r="M169" s="142"/>
      <c r="N169" s="142"/>
      <c r="O169" s="142"/>
      <c r="P169" s="142"/>
      <c r="Q169" s="142"/>
      <c r="R169" s="142"/>
      <c r="S169" s="142" t="s">
        <v>1888</v>
      </c>
      <c r="T169" s="142"/>
      <c r="U169" s="142" t="s">
        <v>55</v>
      </c>
      <c r="V169" s="142" t="s">
        <v>173</v>
      </c>
      <c r="W169" s="142" t="s">
        <v>88</v>
      </c>
      <c r="X169" s="104">
        <v>100</v>
      </c>
      <c r="Y169" s="104" t="s">
        <v>88</v>
      </c>
      <c r="Z169" s="104" t="s">
        <v>88</v>
      </c>
      <c r="AA169" s="104"/>
      <c r="AB169" s="104" t="s">
        <v>88</v>
      </c>
      <c r="AC169" s="104" t="s">
        <v>88</v>
      </c>
      <c r="AD169" s="142" t="s">
        <v>1974</v>
      </c>
      <c r="AE169" s="1"/>
      <c r="AF169" s="30" t="str" cm="1">
        <f t="array" ref="AF169">_xlfn.IFS(COUNTIF(Table14623576[[#This Row],[PBT/ vPvB]],"*X*"), 20, TRUE, "")</f>
        <v/>
      </c>
      <c r="AG169" s="30" t="str" cm="1">
        <f t="array" ref="AG169">_xlfn.IFS(COUNTIF(Table14623576[[#This Row],[Perturbateur Endocrinien]],"*X*"), 20, TRUE, "")</f>
        <v/>
      </c>
      <c r="AH169" s="30" cm="1">
        <f t="array" ref="AH169">_xlfn.IFS(COUNTIF(Table14623576[[#This Row],[Phrases H]],"*H350*"), 20, TRUE, "")</f>
        <v>20</v>
      </c>
      <c r="AI169" s="30" t="str" cm="1">
        <f t="array" ref="AI169">_xlfn.IFS(COUNTIF(Table14623576[[#This Row],[Phrases H]],"*H360*"), 20, TRUE, "")</f>
        <v/>
      </c>
      <c r="AJ169" s="30" t="str" cm="1">
        <f t="array" ref="AJ169">_xlfn.IFS(COUNTIF(Table14623576[[#This Row],[Phrases H]],"*H340*"), 20, TRUE, "")</f>
        <v/>
      </c>
      <c r="AK169" s="30" t="str" cm="1">
        <f t="array" ref="AK169">_xlfn.IFS(COUNTIF(Table14623576[[#This Row],[Phrases H]],"*H351*"), 10, TRUE, "")</f>
        <v/>
      </c>
      <c r="AL169" s="30" t="str" cm="1">
        <f t="array" ref="AL169">_xlfn.IFS(COUNTIF(Table14623576[[#This Row],[Phrases H]],"*H361*"), 10, TRUE, "")</f>
        <v/>
      </c>
      <c r="AM169" s="30" t="str" cm="1">
        <f t="array" ref="AM169">_xlfn.IFS(COUNTIF(Table14623576[[#This Row],[Phrases H]],"*H362*"), 10, TRUE, "")</f>
        <v/>
      </c>
      <c r="AN169" s="30" t="str" cm="1">
        <f t="array" ref="AN169">_xlfn.IFS(COUNTIF(Table14623576[[#This Row],[Phrases H]],"*H341*"), 10, TRUE, "")</f>
        <v/>
      </c>
      <c r="AO169" s="30" t="str" cm="1">
        <f t="array" ref="AO169">_xlfn.IFS(COUNTIF(Table14623576[[#This Row],[Phrases H]],"*H372*"), 10, TRUE, "")</f>
        <v/>
      </c>
      <c r="AP169" s="30" t="str" cm="1">
        <f t="array" ref="AP169">_xlfn.IFS(COUNTIF(Table14623576[[#This Row],[Phrases H]],"*H410*"), 10, TRUE, "")</f>
        <v/>
      </c>
      <c r="AQ169" s="30" t="str" cm="1">
        <f t="array" ref="AQ169">_xlfn.IFS(COUNTIF(Table14623576[[#This Row],[Phrases H]],"*H373*"), 5, TRUE, "")</f>
        <v/>
      </c>
      <c r="AR169" s="30" t="str" cm="1">
        <f t="array" ref="AR169">_xlfn.IFS(COUNTIF(Table14623576[[#This Row],[Phrases H]],"*H411*"), 5, TRUE, "")</f>
        <v/>
      </c>
      <c r="AS169" s="112">
        <f t="shared" si="97"/>
        <v>20</v>
      </c>
      <c r="AT169" s="144" t="s">
        <v>88</v>
      </c>
      <c r="AU169" s="144" t="s">
        <v>88</v>
      </c>
      <c r="AV169" s="114" t="str">
        <f t="shared" si="76"/>
        <v>N/A</v>
      </c>
      <c r="AW169" s="115">
        <v>20</v>
      </c>
      <c r="AX169" s="116">
        <f t="shared" si="100"/>
        <v>40</v>
      </c>
      <c r="AY169" s="117">
        <f t="shared" si="101"/>
        <v>0.47058823529411764</v>
      </c>
      <c r="AZ169" s="118" t="str">
        <f t="shared" si="89"/>
        <v>3</v>
      </c>
      <c r="BA169" s="119" t="str">
        <f t="shared" si="102"/>
        <v>3</v>
      </c>
      <c r="BB169" s="145"/>
      <c r="BC169" s="144">
        <v>10000000</v>
      </c>
      <c r="BD169" s="113" t="s">
        <v>97</v>
      </c>
      <c r="BE169" s="120">
        <f t="shared" si="92"/>
        <v>25</v>
      </c>
      <c r="BF169" s="121" t="str">
        <f t="shared" si="98"/>
        <v>Production très élevée</v>
      </c>
      <c r="BG169" s="122" t="str">
        <f t="shared" si="99"/>
        <v>A</v>
      </c>
      <c r="BH169" s="145"/>
      <c r="BI169" s="7"/>
      <c r="BJ169" s="130">
        <v>0</v>
      </c>
      <c r="BK169" s="7"/>
      <c r="BL169" s="131">
        <v>0</v>
      </c>
      <c r="BM169" s="132" t="s">
        <v>99</v>
      </c>
      <c r="BN169"/>
      <c r="BO169" s="60" t="str">
        <f t="shared" si="94"/>
        <v>Catégorie 3A NON</v>
      </c>
      <c r="BP169"/>
      <c r="BQ169" s="42" t="s">
        <v>88</v>
      </c>
      <c r="BR169"/>
      <c r="BS169" s="187" t="str">
        <f t="shared" si="103"/>
        <v>X</v>
      </c>
      <c r="BT169" s="19" t="str">
        <f t="shared" si="104"/>
        <v/>
      </c>
      <c r="BU169" s="19" t="str">
        <f t="shared" si="105"/>
        <v/>
      </c>
      <c r="BV169" s="10"/>
      <c r="BW169" s="5" t="str">
        <f t="shared" si="106"/>
        <v/>
      </c>
      <c r="BX169" s="5" t="str">
        <f t="shared" si="107"/>
        <v/>
      </c>
      <c r="BY169"/>
      <c r="BZ169" s="5" t="str">
        <f t="shared" si="108"/>
        <v>X</v>
      </c>
      <c r="CA169" s="5" t="str">
        <f t="shared" si="109"/>
        <v/>
      </c>
      <c r="CB169" s="188" t="str">
        <f t="shared" si="110"/>
        <v/>
      </c>
    </row>
    <row r="170" spans="1:80" s="27" customFormat="1" ht="30" customHeight="1" x14ac:dyDescent="0.55000000000000004">
      <c r="A170" s="154">
        <v>32</v>
      </c>
      <c r="B170" s="104" t="s">
        <v>1607</v>
      </c>
      <c r="C170" s="154" t="s">
        <v>1975</v>
      </c>
      <c r="D170" s="154" t="s">
        <v>1976</v>
      </c>
      <c r="E170" s="154" t="s">
        <v>1977</v>
      </c>
      <c r="F170" s="154" t="s">
        <v>1978</v>
      </c>
      <c r="G170" s="154" t="s">
        <v>1979</v>
      </c>
      <c r="H170" s="154" t="s">
        <v>1980</v>
      </c>
      <c r="I170" s="104"/>
      <c r="J170" s="104"/>
      <c r="K170" s="142" t="s">
        <v>304</v>
      </c>
      <c r="L170" s="142"/>
      <c r="M170" s="142"/>
      <c r="N170" s="142" t="s">
        <v>85</v>
      </c>
      <c r="O170" s="142"/>
      <c r="P170" s="142"/>
      <c r="Q170" s="142"/>
      <c r="R170" s="142" t="s">
        <v>85</v>
      </c>
      <c r="S170" s="142" t="s">
        <v>1888</v>
      </c>
      <c r="T170" s="142"/>
      <c r="U170" s="142" t="s">
        <v>1981</v>
      </c>
      <c r="V170" s="142" t="s">
        <v>122</v>
      </c>
      <c r="W170" s="142" t="s">
        <v>1982</v>
      </c>
      <c r="X170" s="104" t="s">
        <v>1983</v>
      </c>
      <c r="Y170" s="104">
        <v>202</v>
      </c>
      <c r="Z170" s="104" t="s">
        <v>1984</v>
      </c>
      <c r="AA170" s="104"/>
      <c r="AB170" s="104" t="s">
        <v>1985</v>
      </c>
      <c r="AC170" s="104" t="s">
        <v>1986</v>
      </c>
      <c r="AD170" s="142" t="s">
        <v>1987</v>
      </c>
      <c r="AE170" s="1"/>
      <c r="AF170" s="30" cm="1">
        <f t="array" ref="AF170">_xlfn.IFS(COUNTIF(Table14623576[[#This Row],[PBT/ vPvB]],"*X*"), 20, TRUE, "")</f>
        <v>20</v>
      </c>
      <c r="AG170" s="30" t="str" cm="1">
        <f t="array" ref="AG170">_xlfn.IFS(COUNTIF(Table14623576[[#This Row],[Perturbateur Endocrinien]],"*X*"), 20, TRUE, "")</f>
        <v/>
      </c>
      <c r="AH170" s="30" t="str" cm="1">
        <f t="array" ref="AH170">_xlfn.IFS(COUNTIF(Table14623576[[#This Row],[Phrases H]],"*H350*"), 20, TRUE, "")</f>
        <v/>
      </c>
      <c r="AI170" s="30" t="str" cm="1">
        <f t="array" ref="AI170">_xlfn.IFS(COUNTIF(Table14623576[[#This Row],[Phrases H]],"*H360*"), 20, TRUE, "")</f>
        <v/>
      </c>
      <c r="AJ170" s="30" t="str" cm="1">
        <f t="array" ref="AJ170">_xlfn.IFS(COUNTIF(Table14623576[[#This Row],[Phrases H]],"*H340*"), 20, TRUE, "")</f>
        <v/>
      </c>
      <c r="AK170" s="30" t="str" cm="1">
        <f t="array" ref="AK170">_xlfn.IFS(COUNTIF(Table14623576[[#This Row],[Phrases H]],"*H351*"), 10, TRUE, "")</f>
        <v/>
      </c>
      <c r="AL170" s="30" t="str" cm="1">
        <f t="array" ref="AL170">_xlfn.IFS(COUNTIF(Table14623576[[#This Row],[Phrases H]],"*H361*"), 10, TRUE, "")</f>
        <v/>
      </c>
      <c r="AM170" s="30" t="str" cm="1">
        <f t="array" ref="AM170">_xlfn.IFS(COUNTIF(Table14623576[[#This Row],[Phrases H]],"*H362*"), 10, TRUE, "")</f>
        <v/>
      </c>
      <c r="AN170" s="30" t="str" cm="1">
        <f t="array" ref="AN170">_xlfn.IFS(COUNTIF(Table14623576[[#This Row],[Phrases H]],"*H341*"), 10, TRUE, "")</f>
        <v/>
      </c>
      <c r="AO170" s="30" t="str" cm="1">
        <f t="array" ref="AO170">_xlfn.IFS(COUNTIF(Table14623576[[#This Row],[Phrases H]],"*H372*"), 10, TRUE, "")</f>
        <v/>
      </c>
      <c r="AP170" s="30" cm="1">
        <f t="array" ref="AP170">_xlfn.IFS(COUNTIF(Table14623576[[#This Row],[Phrases H]],"*H410*"), 10, TRUE, "")</f>
        <v>10</v>
      </c>
      <c r="AQ170" s="30" t="str" cm="1">
        <f t="array" ref="AQ170">_xlfn.IFS(COUNTIF(Table14623576[[#This Row],[Phrases H]],"*H373*"), 5, TRUE, "")</f>
        <v/>
      </c>
      <c r="AR170" s="30" t="str" cm="1">
        <f t="array" ref="AR170">_xlfn.IFS(COUNTIF(Table14623576[[#This Row],[Phrases H]],"*H411*"), 5, TRUE, "")</f>
        <v/>
      </c>
      <c r="AS170" s="112">
        <f t="shared" si="97"/>
        <v>30</v>
      </c>
      <c r="AT170" s="144" t="s">
        <v>1985</v>
      </c>
      <c r="AU170" s="144" t="s">
        <v>1982</v>
      </c>
      <c r="AV170" s="114">
        <f t="shared" si="76"/>
        <v>50</v>
      </c>
      <c r="AW170" s="115" t="str">
        <f>IF(AT170="0","0",IF(AT170&lt;2,"20",IF(AT170&lt;3,"10","0")))</f>
        <v>0</v>
      </c>
      <c r="AX170" s="116">
        <f t="shared" si="100"/>
        <v>30</v>
      </c>
      <c r="AY170" s="117">
        <f t="shared" si="101"/>
        <v>0.35294117647058826</v>
      </c>
      <c r="AZ170" s="118" t="str">
        <f t="shared" si="89"/>
        <v>4</v>
      </c>
      <c r="BA170" s="119" t="str">
        <f t="shared" si="102"/>
        <v>4</v>
      </c>
      <c r="BB170" s="145"/>
      <c r="BC170" s="144">
        <v>10000</v>
      </c>
      <c r="BD170" s="113" t="s">
        <v>97</v>
      </c>
      <c r="BE170" s="120">
        <f t="shared" ref="BE170:BE180" si="111">IF(BC170="N/A",0,IF(BC170&lt;=10,5,IF(BC170&lt;=100,10,IF(BC170&lt;=1000,15,IF(BC170&lt;=10000,20,25)))))</f>
        <v>20</v>
      </c>
      <c r="BF170" s="121" t="str">
        <f t="shared" si="98"/>
        <v>Production élevée</v>
      </c>
      <c r="BG170" s="122" t="str">
        <f t="shared" si="99"/>
        <v>B</v>
      </c>
      <c r="BH170" s="145"/>
      <c r="BI170" s="7"/>
      <c r="BJ170" s="130">
        <v>0</v>
      </c>
      <c r="BK170" s="7"/>
      <c r="BL170" s="131">
        <v>0</v>
      </c>
      <c r="BM170" s="132" t="s">
        <v>99</v>
      </c>
      <c r="BN170"/>
      <c r="BO170" s="60" t="str">
        <f t="shared" si="94"/>
        <v>Catégorie 4B NON</v>
      </c>
      <c r="BP170"/>
      <c r="BQ170" s="42" t="s">
        <v>88</v>
      </c>
      <c r="BR170"/>
      <c r="BS170" s="187" t="str">
        <f t="shared" si="103"/>
        <v/>
      </c>
      <c r="BT170" s="19" t="str">
        <f t="shared" si="104"/>
        <v/>
      </c>
      <c r="BU170" s="19" t="str">
        <f t="shared" si="105"/>
        <v/>
      </c>
      <c r="BV170" s="10"/>
      <c r="BW170" s="5" t="str">
        <f t="shared" si="106"/>
        <v/>
      </c>
      <c r="BX170" s="5" t="str">
        <f t="shared" si="107"/>
        <v/>
      </c>
      <c r="BY170"/>
      <c r="BZ170" s="5" t="str">
        <f t="shared" si="108"/>
        <v/>
      </c>
      <c r="CA170" s="5" t="str">
        <f t="shared" si="109"/>
        <v/>
      </c>
      <c r="CB170" s="188" t="str">
        <f t="shared" si="110"/>
        <v/>
      </c>
    </row>
    <row r="171" spans="1:80" s="27" customFormat="1" ht="30" customHeight="1" x14ac:dyDescent="0.55000000000000004">
      <c r="A171" s="154">
        <v>33</v>
      </c>
      <c r="B171" s="104" t="s">
        <v>1607</v>
      </c>
      <c r="C171" s="154" t="s">
        <v>1988</v>
      </c>
      <c r="D171" s="154" t="s">
        <v>88</v>
      </c>
      <c r="E171" s="141" t="s">
        <v>1989</v>
      </c>
      <c r="F171" s="154" t="s">
        <v>1990</v>
      </c>
      <c r="G171" s="141" t="s">
        <v>1991</v>
      </c>
      <c r="H171" s="141" t="s">
        <v>88</v>
      </c>
      <c r="I171" s="104"/>
      <c r="J171" s="104"/>
      <c r="K171" s="142" t="s">
        <v>88</v>
      </c>
      <c r="L171" s="142"/>
      <c r="M171" s="142"/>
      <c r="N171" s="142" t="s">
        <v>85</v>
      </c>
      <c r="O171" s="142"/>
      <c r="P171" s="142"/>
      <c r="Q171" s="142"/>
      <c r="R171" s="142"/>
      <c r="S171" s="142" t="s">
        <v>88</v>
      </c>
      <c r="T171" s="142"/>
      <c r="U171" s="142" t="s">
        <v>1992</v>
      </c>
      <c r="V171" s="142" t="s">
        <v>88</v>
      </c>
      <c r="W171" s="142" t="s">
        <v>1993</v>
      </c>
      <c r="X171" s="104" t="s">
        <v>1994</v>
      </c>
      <c r="Y171" s="104">
        <v>2117</v>
      </c>
      <c r="Z171" s="104" t="s">
        <v>88</v>
      </c>
      <c r="AA171" s="104"/>
      <c r="AB171" s="104" t="s">
        <v>1995</v>
      </c>
      <c r="AC171" s="104" t="s">
        <v>1996</v>
      </c>
      <c r="AD171" s="142" t="s">
        <v>1997</v>
      </c>
      <c r="AE171" s="1"/>
      <c r="AF171" s="30" t="str" cm="1">
        <f t="array" ref="AF171">_xlfn.IFS(COUNTIF(Table14623576[[#This Row],[PBT/ vPvB]],"*X*"), 20, TRUE, "")</f>
        <v/>
      </c>
      <c r="AG171" s="30" t="str" cm="1">
        <f t="array" ref="AG171">_xlfn.IFS(COUNTIF(Table14623576[[#This Row],[Perturbateur Endocrinien]],"*X*"), 20, TRUE, "")</f>
        <v/>
      </c>
      <c r="AH171" s="30" t="str" cm="1">
        <f t="array" ref="AH171">_xlfn.IFS(COUNTIF(Table14623576[[#This Row],[Phrases H]],"*H350*"), 20, TRUE, "")</f>
        <v/>
      </c>
      <c r="AI171" s="30" t="str" cm="1">
        <f t="array" ref="AI171">_xlfn.IFS(COUNTIF(Table14623576[[#This Row],[Phrases H]],"*H360*"), 20, TRUE, "")</f>
        <v/>
      </c>
      <c r="AJ171" s="30" t="str" cm="1">
        <f t="array" ref="AJ171">_xlfn.IFS(COUNTIF(Table14623576[[#This Row],[Phrases H]],"*H340*"), 20, TRUE, "")</f>
        <v/>
      </c>
      <c r="AK171" s="30" t="str" cm="1">
        <f t="array" ref="AK171">_xlfn.IFS(COUNTIF(Table14623576[[#This Row],[Phrases H]],"*H351*"), 10, TRUE, "")</f>
        <v/>
      </c>
      <c r="AL171" s="30" cm="1">
        <f t="array" ref="AL171">_xlfn.IFS(COUNTIF(Table14623576[[#This Row],[Phrases H]],"*H361*"), 10, TRUE, "")</f>
        <v>10</v>
      </c>
      <c r="AM171" s="30" t="str" cm="1">
        <f t="array" ref="AM171">_xlfn.IFS(COUNTIF(Table14623576[[#This Row],[Phrases H]],"*H362*"), 10, TRUE, "")</f>
        <v/>
      </c>
      <c r="AN171" s="30" t="str" cm="1">
        <f t="array" ref="AN171">_xlfn.IFS(COUNTIF(Table14623576[[#This Row],[Phrases H]],"*H341*"), 10, TRUE, "")</f>
        <v/>
      </c>
      <c r="AO171" s="30" t="str" cm="1">
        <f t="array" ref="AO171">_xlfn.IFS(COUNTIF(Table14623576[[#This Row],[Phrases H]],"*H372*"), 10, TRUE, "")</f>
        <v/>
      </c>
      <c r="AP171" s="30" t="str" cm="1">
        <f t="array" ref="AP171">_xlfn.IFS(COUNTIF(Table14623576[[#This Row],[Phrases H]],"*H410*"), 10, TRUE, "")</f>
        <v/>
      </c>
      <c r="AQ171" s="30" t="str" cm="1">
        <f t="array" ref="AQ171">_xlfn.IFS(COUNTIF(Table14623576[[#This Row],[Phrases H]],"*H373*"), 5, TRUE, "")</f>
        <v/>
      </c>
      <c r="AR171" s="30" t="str" cm="1">
        <f t="array" ref="AR171">_xlfn.IFS(COUNTIF(Table14623576[[#This Row],[Phrases H]],"*H411*"), 5, TRUE, "")</f>
        <v/>
      </c>
      <c r="AS171" s="112">
        <f t="shared" si="97"/>
        <v>10</v>
      </c>
      <c r="AT171" s="144" t="s">
        <v>1995</v>
      </c>
      <c r="AU171" s="144" t="s">
        <v>1993</v>
      </c>
      <c r="AV171" s="114">
        <f t="shared" si="76"/>
        <v>50</v>
      </c>
      <c r="AW171" s="115" t="str">
        <f>IF(AT171="0","0",IF(AT171&lt;2,"20",IF(AT171&lt;3,"10","0")))</f>
        <v>0</v>
      </c>
      <c r="AX171" s="116">
        <f t="shared" si="100"/>
        <v>10</v>
      </c>
      <c r="AY171" s="117">
        <f t="shared" si="101"/>
        <v>0.11764705882352941</v>
      </c>
      <c r="AZ171" s="118" t="str">
        <f t="shared" si="89"/>
        <v>5</v>
      </c>
      <c r="BA171" s="119" t="str">
        <f t="shared" si="102"/>
        <v>5</v>
      </c>
      <c r="BB171" s="145"/>
      <c r="BC171" s="144" t="s">
        <v>88</v>
      </c>
      <c r="BD171" s="113" t="s">
        <v>97</v>
      </c>
      <c r="BE171" s="120">
        <f t="shared" si="111"/>
        <v>0</v>
      </c>
      <c r="BF171" s="121" t="str">
        <f t="shared" si="98"/>
        <v>N/A</v>
      </c>
      <c r="BG171" s="122" t="str">
        <f t="shared" si="99"/>
        <v>E</v>
      </c>
      <c r="BH171" s="145"/>
      <c r="BI171" s="7"/>
      <c r="BJ171" s="130">
        <v>0</v>
      </c>
      <c r="BK171" s="7"/>
      <c r="BL171" s="131">
        <v>0</v>
      </c>
      <c r="BM171" s="132" t="s">
        <v>99</v>
      </c>
      <c r="BN171"/>
      <c r="BO171" s="60" t="str">
        <f t="shared" si="94"/>
        <v>Catégorie 5E NON</v>
      </c>
      <c r="BP171"/>
      <c r="BQ171" s="42" t="s">
        <v>88</v>
      </c>
      <c r="BR171"/>
      <c r="BS171" s="187" t="str">
        <f t="shared" si="103"/>
        <v/>
      </c>
      <c r="BT171" s="19" t="str">
        <f t="shared" si="104"/>
        <v/>
      </c>
      <c r="BU171" s="19" t="str">
        <f t="shared" si="105"/>
        <v/>
      </c>
      <c r="BV171" s="10"/>
      <c r="BW171" s="5" t="str">
        <f t="shared" si="106"/>
        <v>X</v>
      </c>
      <c r="BX171" s="5" t="str">
        <f t="shared" si="107"/>
        <v/>
      </c>
      <c r="BY171"/>
      <c r="BZ171" s="5" t="str">
        <f t="shared" si="108"/>
        <v/>
      </c>
      <c r="CA171" s="5" t="str">
        <f t="shared" si="109"/>
        <v/>
      </c>
      <c r="CB171" s="188" t="str">
        <f t="shared" si="110"/>
        <v/>
      </c>
    </row>
    <row r="172" spans="1:80" s="27" customFormat="1" ht="30" customHeight="1" x14ac:dyDescent="0.55000000000000004">
      <c r="A172" s="154">
        <v>34</v>
      </c>
      <c r="B172" s="104" t="s">
        <v>1607</v>
      </c>
      <c r="C172" s="154" t="s">
        <v>1998</v>
      </c>
      <c r="D172" s="154" t="s">
        <v>1999</v>
      </c>
      <c r="E172" s="154" t="s">
        <v>2000</v>
      </c>
      <c r="F172" s="154" t="s">
        <v>2001</v>
      </c>
      <c r="G172" s="154" t="s">
        <v>2002</v>
      </c>
      <c r="H172" s="154" t="s">
        <v>2003</v>
      </c>
      <c r="I172" s="104"/>
      <c r="J172" s="104"/>
      <c r="K172" s="142" t="s">
        <v>304</v>
      </c>
      <c r="L172" s="142"/>
      <c r="M172" s="142"/>
      <c r="N172" s="142" t="s">
        <v>85</v>
      </c>
      <c r="O172" s="142"/>
      <c r="P172" s="142"/>
      <c r="Q172" s="142"/>
      <c r="R172" s="142"/>
      <c r="S172" s="142" t="s">
        <v>1615</v>
      </c>
      <c r="T172" s="142"/>
      <c r="U172" s="142" t="s">
        <v>2004</v>
      </c>
      <c r="V172" s="142" t="s">
        <v>122</v>
      </c>
      <c r="W172" s="142">
        <v>442</v>
      </c>
      <c r="X172" s="104" t="s">
        <v>2005</v>
      </c>
      <c r="Y172" s="104" t="s">
        <v>2006</v>
      </c>
      <c r="Z172" s="104" t="s">
        <v>2007</v>
      </c>
      <c r="AA172" s="104"/>
      <c r="AB172" s="104" t="s">
        <v>724</v>
      </c>
      <c r="AC172" s="104" t="s">
        <v>2008</v>
      </c>
      <c r="AD172" s="142" t="s">
        <v>2009</v>
      </c>
      <c r="AE172" s="1"/>
      <c r="AF172" s="30" t="str" cm="1">
        <f t="array" ref="AF172">_xlfn.IFS(COUNTIF(Table14623576[[#This Row],[PBT/ vPvB]],"*X*"), 20, TRUE, "")</f>
        <v/>
      </c>
      <c r="AG172" s="30" t="str" cm="1">
        <f t="array" ref="AG172">_xlfn.IFS(COUNTIF(Table14623576[[#This Row],[Perturbateur Endocrinien]],"*X*"), 20, TRUE, "")</f>
        <v/>
      </c>
      <c r="AH172" s="30" t="str" cm="1">
        <f t="array" ref="AH172">_xlfn.IFS(COUNTIF(Table14623576[[#This Row],[Phrases H]],"*H350*"), 20, TRUE, "")</f>
        <v/>
      </c>
      <c r="AI172" s="30" t="str" cm="1">
        <f t="array" ref="AI172">_xlfn.IFS(COUNTIF(Table14623576[[#This Row],[Phrases H]],"*H360*"), 20, TRUE, "")</f>
        <v/>
      </c>
      <c r="AJ172" s="30" t="str" cm="1">
        <f t="array" ref="AJ172">_xlfn.IFS(COUNTIF(Table14623576[[#This Row],[Phrases H]],"*H340*"), 20, TRUE, "")</f>
        <v/>
      </c>
      <c r="AK172" s="30" t="str" cm="1">
        <f t="array" ref="AK172">_xlfn.IFS(COUNTIF(Table14623576[[#This Row],[Phrases H]],"*H351*"), 10, TRUE, "")</f>
        <v/>
      </c>
      <c r="AL172" s="30" t="str" cm="1">
        <f t="array" ref="AL172">_xlfn.IFS(COUNTIF(Table14623576[[#This Row],[Phrases H]],"*H361*"), 10, TRUE, "")</f>
        <v/>
      </c>
      <c r="AM172" s="30" t="str" cm="1">
        <f t="array" ref="AM172">_xlfn.IFS(COUNTIF(Table14623576[[#This Row],[Phrases H]],"*H362*"), 10, TRUE, "")</f>
        <v/>
      </c>
      <c r="AN172" s="30" t="str" cm="1">
        <f t="array" ref="AN172">_xlfn.IFS(COUNTIF(Table14623576[[#This Row],[Phrases H]],"*H341*"), 10, TRUE, "")</f>
        <v/>
      </c>
      <c r="AO172" s="30" t="str" cm="1">
        <f t="array" ref="AO172">_xlfn.IFS(COUNTIF(Table14623576[[#This Row],[Phrases H]],"*H372*"), 10, TRUE, "")</f>
        <v/>
      </c>
      <c r="AP172" s="30" t="str" cm="1">
        <f t="array" ref="AP172">_xlfn.IFS(COUNTIF(Table14623576[[#This Row],[Phrases H]],"*H410*"), 10, TRUE, "")</f>
        <v/>
      </c>
      <c r="AQ172" s="30" t="str" cm="1">
        <f t="array" ref="AQ172">_xlfn.IFS(COUNTIF(Table14623576[[#This Row],[Phrases H]],"*H373*"), 5, TRUE, "")</f>
        <v/>
      </c>
      <c r="AR172" s="30" t="str" cm="1">
        <f t="array" ref="AR172">_xlfn.IFS(COUNTIF(Table14623576[[#This Row],[Phrases H]],"*H411*"), 5, TRUE, "")</f>
        <v/>
      </c>
      <c r="AS172" s="112">
        <f t="shared" si="97"/>
        <v>0</v>
      </c>
      <c r="AT172" s="144" t="s">
        <v>724</v>
      </c>
      <c r="AU172" s="144">
        <v>442</v>
      </c>
      <c r="AV172" s="114">
        <f t="shared" si="76"/>
        <v>30</v>
      </c>
      <c r="AW172" s="115" t="str">
        <f>IF(AT172="0","0",IF(AT172&lt;2,"20",IF(AT172&lt;3,"10","0")))</f>
        <v>0</v>
      </c>
      <c r="AX172" s="116">
        <f t="shared" si="100"/>
        <v>0</v>
      </c>
      <c r="AY172" s="117">
        <f t="shared" si="101"/>
        <v>0</v>
      </c>
      <c r="AZ172" s="118" t="str">
        <f t="shared" si="89"/>
        <v>5</v>
      </c>
      <c r="BA172" s="119" t="str">
        <f t="shared" si="102"/>
        <v>5</v>
      </c>
      <c r="BB172" s="145"/>
      <c r="BC172" s="144">
        <v>10000</v>
      </c>
      <c r="BD172" s="113" t="s">
        <v>97</v>
      </c>
      <c r="BE172" s="120">
        <f t="shared" si="111"/>
        <v>20</v>
      </c>
      <c r="BF172" s="121" t="str">
        <f t="shared" si="98"/>
        <v>Production élevée</v>
      </c>
      <c r="BG172" s="122" t="str">
        <f t="shared" si="99"/>
        <v>B</v>
      </c>
      <c r="BH172" s="145"/>
      <c r="BI172" s="7"/>
      <c r="BJ172" s="130">
        <v>0</v>
      </c>
      <c r="BK172" s="7"/>
      <c r="BL172" s="131">
        <v>0</v>
      </c>
      <c r="BM172" s="132" t="s">
        <v>99</v>
      </c>
      <c r="BN172"/>
      <c r="BO172" s="60" t="str">
        <f t="shared" si="94"/>
        <v>Catégorie 5B NON</v>
      </c>
      <c r="BP172"/>
      <c r="BQ172" s="42" t="s">
        <v>88</v>
      </c>
      <c r="BR172"/>
      <c r="BS172" s="187" t="str">
        <f t="shared" si="103"/>
        <v/>
      </c>
      <c r="BT172" s="19" t="str">
        <f t="shared" si="104"/>
        <v/>
      </c>
      <c r="BU172" s="19" t="str">
        <f t="shared" si="105"/>
        <v/>
      </c>
      <c r="BV172" s="10"/>
      <c r="BW172" s="5" t="str">
        <f t="shared" si="106"/>
        <v/>
      </c>
      <c r="BX172" s="5" t="str">
        <f t="shared" si="107"/>
        <v/>
      </c>
      <c r="BY172"/>
      <c r="BZ172" s="5" t="str">
        <f t="shared" si="108"/>
        <v/>
      </c>
      <c r="CA172" s="5" t="str">
        <f t="shared" si="109"/>
        <v/>
      </c>
      <c r="CB172" s="188" t="str">
        <f t="shared" si="110"/>
        <v/>
      </c>
    </row>
    <row r="173" spans="1:80" s="27" customFormat="1" ht="30" customHeight="1" x14ac:dyDescent="0.55000000000000004">
      <c r="A173" s="154">
        <v>35</v>
      </c>
      <c r="B173" s="104" t="s">
        <v>1607</v>
      </c>
      <c r="C173" s="154" t="s">
        <v>2010</v>
      </c>
      <c r="D173" s="141" t="s">
        <v>439</v>
      </c>
      <c r="E173" s="154" t="s">
        <v>2011</v>
      </c>
      <c r="F173" s="154" t="s">
        <v>2012</v>
      </c>
      <c r="G173" s="154" t="s">
        <v>2013</v>
      </c>
      <c r="H173" s="141" t="s">
        <v>2014</v>
      </c>
      <c r="I173" s="104"/>
      <c r="J173" s="104"/>
      <c r="K173" s="142" t="s">
        <v>304</v>
      </c>
      <c r="L173" s="142"/>
      <c r="M173" s="142"/>
      <c r="N173" s="142" t="s">
        <v>85</v>
      </c>
      <c r="O173" s="142"/>
      <c r="P173" s="142"/>
      <c r="Q173" s="142"/>
      <c r="R173" s="142"/>
      <c r="S173" s="142" t="s">
        <v>1888</v>
      </c>
      <c r="T173" s="142"/>
      <c r="U173" s="142" t="s">
        <v>2004</v>
      </c>
      <c r="V173" s="142" t="s">
        <v>88</v>
      </c>
      <c r="W173" s="142">
        <v>450</v>
      </c>
      <c r="X173" s="104">
        <v>0</v>
      </c>
      <c r="Y173" s="104" t="s">
        <v>2015</v>
      </c>
      <c r="Z173" s="104" t="s">
        <v>2016</v>
      </c>
      <c r="AA173" s="104"/>
      <c r="AB173" s="104" t="s">
        <v>2017</v>
      </c>
      <c r="AC173" s="104" t="s">
        <v>2018</v>
      </c>
      <c r="AD173" s="142" t="s">
        <v>2019</v>
      </c>
      <c r="AE173" s="1"/>
      <c r="AF173" s="30" t="str" cm="1">
        <f t="array" ref="AF173">_xlfn.IFS(COUNTIF(Table14623576[[#This Row],[PBT/ vPvB]],"*X*"), 20, TRUE, "")</f>
        <v/>
      </c>
      <c r="AG173" s="30" t="str" cm="1">
        <f t="array" ref="AG173">_xlfn.IFS(COUNTIF(Table14623576[[#This Row],[Perturbateur Endocrinien]],"*X*"), 20, TRUE, "")</f>
        <v/>
      </c>
      <c r="AH173" s="30" t="str" cm="1">
        <f t="array" ref="AH173">_xlfn.IFS(COUNTIF(Table14623576[[#This Row],[Phrases H]],"*H350*"), 20, TRUE, "")</f>
        <v/>
      </c>
      <c r="AI173" s="30" t="str" cm="1">
        <f t="array" ref="AI173">_xlfn.IFS(COUNTIF(Table14623576[[#This Row],[Phrases H]],"*H360*"), 20, TRUE, "")</f>
        <v/>
      </c>
      <c r="AJ173" s="30" t="str" cm="1">
        <f t="array" ref="AJ173">_xlfn.IFS(COUNTIF(Table14623576[[#This Row],[Phrases H]],"*H340*"), 20, TRUE, "")</f>
        <v/>
      </c>
      <c r="AK173" s="30" t="str" cm="1">
        <f t="array" ref="AK173">_xlfn.IFS(COUNTIF(Table14623576[[#This Row],[Phrases H]],"*H351*"), 10, TRUE, "")</f>
        <v/>
      </c>
      <c r="AL173" s="30" t="str" cm="1">
        <f t="array" ref="AL173">_xlfn.IFS(COUNTIF(Table14623576[[#This Row],[Phrases H]],"*H361*"), 10, TRUE, "")</f>
        <v/>
      </c>
      <c r="AM173" s="30" t="str" cm="1">
        <f t="array" ref="AM173">_xlfn.IFS(COUNTIF(Table14623576[[#This Row],[Phrases H]],"*H362*"), 10, TRUE, "")</f>
        <v/>
      </c>
      <c r="AN173" s="30" t="str" cm="1">
        <f t="array" ref="AN173">_xlfn.IFS(COUNTIF(Table14623576[[#This Row],[Phrases H]],"*H341*"), 10, TRUE, "")</f>
        <v/>
      </c>
      <c r="AO173" s="30" t="str" cm="1">
        <f t="array" ref="AO173">_xlfn.IFS(COUNTIF(Table14623576[[#This Row],[Phrases H]],"*H372*"), 10, TRUE, "")</f>
        <v/>
      </c>
      <c r="AP173" s="30" t="str" cm="1">
        <f t="array" ref="AP173">_xlfn.IFS(COUNTIF(Table14623576[[#This Row],[Phrases H]],"*H410*"), 10, TRUE, "")</f>
        <v/>
      </c>
      <c r="AQ173" s="30" t="str" cm="1">
        <f t="array" ref="AQ173">_xlfn.IFS(COUNTIF(Table14623576[[#This Row],[Phrases H]],"*H373*"), 5, TRUE, "")</f>
        <v/>
      </c>
      <c r="AR173" s="30" t="str" cm="1">
        <f t="array" ref="AR173">_xlfn.IFS(COUNTIF(Table14623576[[#This Row],[Phrases H]],"*H411*"), 5, TRUE, "")</f>
        <v/>
      </c>
      <c r="AS173" s="112">
        <f t="shared" si="97"/>
        <v>0</v>
      </c>
      <c r="AT173" s="144" t="s">
        <v>2017</v>
      </c>
      <c r="AU173" s="144">
        <v>450</v>
      </c>
      <c r="AV173" s="114">
        <f t="shared" si="76"/>
        <v>30</v>
      </c>
      <c r="AW173" s="115" t="str">
        <f>IF(AT173="0","0",IF(AT173&lt;2,"20",IF(AT173&lt;3,"10","0")))</f>
        <v>0</v>
      </c>
      <c r="AX173" s="116">
        <f t="shared" si="100"/>
        <v>0</v>
      </c>
      <c r="AY173" s="117">
        <f t="shared" si="101"/>
        <v>0</v>
      </c>
      <c r="AZ173" s="118" t="str">
        <f t="shared" si="89"/>
        <v>5</v>
      </c>
      <c r="BA173" s="119" t="str">
        <f t="shared" si="102"/>
        <v>5</v>
      </c>
      <c r="BB173" s="145"/>
      <c r="BC173" s="144">
        <v>10000</v>
      </c>
      <c r="BD173" s="113" t="s">
        <v>97</v>
      </c>
      <c r="BE173" s="120">
        <f t="shared" si="111"/>
        <v>20</v>
      </c>
      <c r="BF173" s="121" t="str">
        <f t="shared" si="98"/>
        <v>Production élevée</v>
      </c>
      <c r="BG173" s="122" t="str">
        <f t="shared" si="99"/>
        <v>B</v>
      </c>
      <c r="BH173" s="145"/>
      <c r="BI173" s="7"/>
      <c r="BJ173" s="130">
        <v>0</v>
      </c>
      <c r="BK173" s="7"/>
      <c r="BL173" s="131">
        <v>0</v>
      </c>
      <c r="BM173" s="132" t="s">
        <v>99</v>
      </c>
      <c r="BN173"/>
      <c r="BO173" s="60" t="str">
        <f t="shared" si="94"/>
        <v>Catégorie 5B NON</v>
      </c>
      <c r="BP173"/>
      <c r="BQ173" s="42" t="s">
        <v>88</v>
      </c>
      <c r="BR173"/>
      <c r="BS173" s="187" t="str">
        <f t="shared" si="103"/>
        <v/>
      </c>
      <c r="BT173" s="19" t="str">
        <f t="shared" si="104"/>
        <v/>
      </c>
      <c r="BU173" s="19" t="str">
        <f t="shared" si="105"/>
        <v/>
      </c>
      <c r="BV173" s="10"/>
      <c r="BW173" s="5" t="str">
        <f t="shared" si="106"/>
        <v/>
      </c>
      <c r="BX173" s="5" t="str">
        <f t="shared" si="107"/>
        <v/>
      </c>
      <c r="BY173"/>
      <c r="BZ173" s="5" t="str">
        <f t="shared" si="108"/>
        <v/>
      </c>
      <c r="CA173" s="5" t="str">
        <f t="shared" si="109"/>
        <v/>
      </c>
      <c r="CB173" s="188" t="str">
        <f t="shared" si="110"/>
        <v/>
      </c>
    </row>
    <row r="174" spans="1:80" s="27" customFormat="1" ht="30" customHeight="1" x14ac:dyDescent="0.55000000000000004">
      <c r="A174" s="154">
        <v>36</v>
      </c>
      <c r="B174" s="104" t="s">
        <v>1607</v>
      </c>
      <c r="C174" s="154" t="s">
        <v>2020</v>
      </c>
      <c r="D174" s="154" t="s">
        <v>2021</v>
      </c>
      <c r="E174" s="154" t="s">
        <v>2022</v>
      </c>
      <c r="F174" s="154" t="s">
        <v>2023</v>
      </c>
      <c r="G174" s="154" t="s">
        <v>2024</v>
      </c>
      <c r="H174" s="154" t="s">
        <v>2025</v>
      </c>
      <c r="I174" s="104"/>
      <c r="J174" s="104"/>
      <c r="K174" s="142" t="s">
        <v>1508</v>
      </c>
      <c r="L174" s="142"/>
      <c r="M174" s="142"/>
      <c r="N174" s="142" t="s">
        <v>85</v>
      </c>
      <c r="O174" s="142" t="s">
        <v>85</v>
      </c>
      <c r="P174" s="142" t="s">
        <v>85</v>
      </c>
      <c r="Q174" s="142"/>
      <c r="R174" s="142"/>
      <c r="S174" s="142" t="s">
        <v>1615</v>
      </c>
      <c r="T174" s="142"/>
      <c r="U174" s="142" t="s">
        <v>2026</v>
      </c>
      <c r="V174" s="142" t="s">
        <v>122</v>
      </c>
      <c r="W174" s="142">
        <v>1</v>
      </c>
      <c r="X174" s="104">
        <v>32</v>
      </c>
      <c r="Y174" s="104" t="s">
        <v>2027</v>
      </c>
      <c r="Z174" s="104" t="s">
        <v>2028</v>
      </c>
      <c r="AA174" s="104"/>
      <c r="AB174" s="104" t="s">
        <v>2029</v>
      </c>
      <c r="AC174" s="104" t="s">
        <v>2030</v>
      </c>
      <c r="AD174" s="142" t="s">
        <v>2031</v>
      </c>
      <c r="AE174" s="1"/>
      <c r="AF174" s="30" t="str" cm="1">
        <f t="array" ref="AF174">_xlfn.IFS(COUNTIF(Table14623576[[#This Row],[PBT/ vPvB]],"*X*"), 20, TRUE, "")</f>
        <v/>
      </c>
      <c r="AG174" s="30" t="str" cm="1">
        <f t="array" ref="AG174">_xlfn.IFS(COUNTIF(Table14623576[[#This Row],[Perturbateur Endocrinien]],"*X*"), 20, TRUE, "")</f>
        <v/>
      </c>
      <c r="AH174" s="30" t="str" cm="1">
        <f t="array" ref="AH174">_xlfn.IFS(COUNTIF(Table14623576[[#This Row],[Phrases H]],"*H350*"), 20, TRUE, "")</f>
        <v/>
      </c>
      <c r="AI174" s="30" cm="1">
        <f t="array" ref="AI174">_xlfn.IFS(COUNTIF(Table14623576[[#This Row],[Phrases H]],"*H360*"), 20, TRUE, "")</f>
        <v>20</v>
      </c>
      <c r="AJ174" s="30" t="str" cm="1">
        <f t="array" ref="AJ174">_xlfn.IFS(COUNTIF(Table14623576[[#This Row],[Phrases H]],"*H340*"), 20, TRUE, "")</f>
        <v/>
      </c>
      <c r="AK174" s="30" t="str" cm="1">
        <f t="array" ref="AK174">_xlfn.IFS(COUNTIF(Table14623576[[#This Row],[Phrases H]],"*H351*"), 10, TRUE, "")</f>
        <v/>
      </c>
      <c r="AL174" s="30" t="str" cm="1">
        <f t="array" ref="AL174">_xlfn.IFS(COUNTIF(Table14623576[[#This Row],[Phrases H]],"*H361*"), 10, TRUE, "")</f>
        <v/>
      </c>
      <c r="AM174" s="30" t="str" cm="1">
        <f t="array" ref="AM174">_xlfn.IFS(COUNTIF(Table14623576[[#This Row],[Phrases H]],"*H362*"), 10, TRUE, "")</f>
        <v/>
      </c>
      <c r="AN174" s="30" t="str" cm="1">
        <f t="array" ref="AN174">_xlfn.IFS(COUNTIF(Table14623576[[#This Row],[Phrases H]],"*H341*"), 10, TRUE, "")</f>
        <v/>
      </c>
      <c r="AO174" s="30" t="str" cm="1">
        <f t="array" ref="AO174">_xlfn.IFS(COUNTIF(Table14623576[[#This Row],[Phrases H]],"*H372*"), 10, TRUE, "")</f>
        <v/>
      </c>
      <c r="AP174" s="30" t="str" cm="1">
        <f t="array" ref="AP174">_xlfn.IFS(COUNTIF(Table14623576[[#This Row],[Phrases H]],"*H410*"), 10, TRUE, "")</f>
        <v/>
      </c>
      <c r="AQ174" s="30" t="str" cm="1">
        <f t="array" ref="AQ174">_xlfn.IFS(COUNTIF(Table14623576[[#This Row],[Phrases H]],"*H373*"), 5, TRUE, "")</f>
        <v/>
      </c>
      <c r="AR174" s="30" t="str" cm="1">
        <f t="array" ref="AR174">_xlfn.IFS(COUNTIF(Table14623576[[#This Row],[Phrases H]],"*H411*"), 5, TRUE, "")</f>
        <v/>
      </c>
      <c r="AS174" s="112">
        <f t="shared" si="97"/>
        <v>20</v>
      </c>
      <c r="AT174" s="144" t="s">
        <v>2029</v>
      </c>
      <c r="AU174" s="144">
        <v>1</v>
      </c>
      <c r="AV174" s="114">
        <f t="shared" si="76"/>
        <v>20</v>
      </c>
      <c r="AW174" s="115" t="str">
        <f>IF(AT174="0","0",IF(AT174&lt;2,"20",IF(AT174&lt;3,"10","0")))</f>
        <v>0</v>
      </c>
      <c r="AX174" s="116">
        <f t="shared" si="100"/>
        <v>20</v>
      </c>
      <c r="AY174" s="117">
        <f t="shared" si="101"/>
        <v>0.23529411764705882</v>
      </c>
      <c r="AZ174" s="118" t="str">
        <f t="shared" si="89"/>
        <v>4</v>
      </c>
      <c r="BA174" s="119" t="str">
        <f t="shared" si="102"/>
        <v>4</v>
      </c>
      <c r="BB174" s="145"/>
      <c r="BC174" s="144">
        <v>100000</v>
      </c>
      <c r="BD174" s="113" t="s">
        <v>97</v>
      </c>
      <c r="BE174" s="120">
        <f t="shared" si="111"/>
        <v>25</v>
      </c>
      <c r="BF174" s="121" t="str">
        <f t="shared" si="98"/>
        <v>Production très élevée</v>
      </c>
      <c r="BG174" s="122" t="str">
        <f t="shared" si="99"/>
        <v>A</v>
      </c>
      <c r="BH174" s="145"/>
      <c r="BI174" s="7"/>
      <c r="BJ174" s="130">
        <v>0</v>
      </c>
      <c r="BK174" s="7"/>
      <c r="BL174" s="131">
        <v>0</v>
      </c>
      <c r="BM174" s="132" t="s">
        <v>99</v>
      </c>
      <c r="BN174"/>
      <c r="BO174" s="60" t="str">
        <f t="shared" si="94"/>
        <v>Catégorie 4A NON</v>
      </c>
      <c r="BP174"/>
      <c r="BQ174" s="42" t="s">
        <v>150</v>
      </c>
      <c r="BR174"/>
      <c r="BS174" s="187" t="str">
        <f t="shared" si="103"/>
        <v/>
      </c>
      <c r="BT174" s="19" t="str">
        <f t="shared" si="104"/>
        <v/>
      </c>
      <c r="BU174" s="19" t="str">
        <f t="shared" si="105"/>
        <v/>
      </c>
      <c r="BV174" s="10"/>
      <c r="BW174" s="5" t="str">
        <f t="shared" si="106"/>
        <v/>
      </c>
      <c r="BX174" s="5" t="str">
        <f t="shared" si="107"/>
        <v/>
      </c>
      <c r="BY174"/>
      <c r="BZ174" s="5" t="str">
        <f t="shared" si="108"/>
        <v/>
      </c>
      <c r="CA174" s="5" t="str">
        <f t="shared" si="109"/>
        <v/>
      </c>
      <c r="CB174" s="188" t="str">
        <f t="shared" si="110"/>
        <v/>
      </c>
    </row>
    <row r="175" spans="1:80" s="27" customFormat="1" ht="30" customHeight="1" x14ac:dyDescent="0.55000000000000004">
      <c r="A175" s="154">
        <v>37</v>
      </c>
      <c r="B175" s="104" t="s">
        <v>1607</v>
      </c>
      <c r="C175" s="154" t="s">
        <v>2032</v>
      </c>
      <c r="D175" s="154" t="s">
        <v>2033</v>
      </c>
      <c r="E175" s="155" t="s">
        <v>2034</v>
      </c>
      <c r="F175" s="154" t="s">
        <v>2035</v>
      </c>
      <c r="G175" s="154" t="s">
        <v>88</v>
      </c>
      <c r="H175" s="141" t="s">
        <v>88</v>
      </c>
      <c r="I175" s="104"/>
      <c r="J175" s="104"/>
      <c r="K175" s="142" t="s">
        <v>1973</v>
      </c>
      <c r="L175" s="142"/>
      <c r="M175" s="142"/>
      <c r="N175" s="142"/>
      <c r="O175" s="142"/>
      <c r="P175" s="142"/>
      <c r="Q175" s="142"/>
      <c r="R175" s="142"/>
      <c r="S175" s="142" t="s">
        <v>1888</v>
      </c>
      <c r="T175" s="142"/>
      <c r="U175" s="142" t="s">
        <v>108</v>
      </c>
      <c r="V175" s="142" t="s">
        <v>173</v>
      </c>
      <c r="W175" s="142" t="s">
        <v>93</v>
      </c>
      <c r="X175" s="104" t="s">
        <v>93</v>
      </c>
      <c r="Y175" s="104" t="s">
        <v>93</v>
      </c>
      <c r="Z175" s="104" t="s">
        <v>93</v>
      </c>
      <c r="AA175" s="104"/>
      <c r="AB175" s="104" t="s">
        <v>93</v>
      </c>
      <c r="AC175" s="104" t="s">
        <v>93</v>
      </c>
      <c r="AD175" s="142" t="s">
        <v>93</v>
      </c>
      <c r="AE175" s="1"/>
      <c r="AF175" s="30" t="str" cm="1">
        <f t="array" ref="AF175">_xlfn.IFS(COUNTIF(Table14623576[[#This Row],[PBT/ vPvB]],"*X*"), 20, TRUE, "")</f>
        <v/>
      </c>
      <c r="AG175" s="30" t="str" cm="1">
        <f t="array" ref="AG175">_xlfn.IFS(COUNTIF(Table14623576[[#This Row],[Perturbateur Endocrinien]],"*X*"), 20, TRUE, "")</f>
        <v/>
      </c>
      <c r="AH175" s="30" t="str" cm="1">
        <f t="array" ref="AH175">_xlfn.IFS(COUNTIF(Table14623576[[#This Row],[Phrases H]],"*H350*"), 20, TRUE, "")</f>
        <v/>
      </c>
      <c r="AI175" s="30" t="str" cm="1">
        <f t="array" ref="AI175">_xlfn.IFS(COUNTIF(Table14623576[[#This Row],[Phrases H]],"*H360*"), 20, TRUE, "")</f>
        <v/>
      </c>
      <c r="AJ175" s="30" t="str" cm="1">
        <f t="array" ref="AJ175">_xlfn.IFS(COUNTIF(Table14623576[[#This Row],[Phrases H]],"*H340*"), 20, TRUE, "")</f>
        <v/>
      </c>
      <c r="AK175" s="30" t="str" cm="1">
        <f t="array" ref="AK175">_xlfn.IFS(COUNTIF(Table14623576[[#This Row],[Phrases H]],"*H351*"), 10, TRUE, "")</f>
        <v/>
      </c>
      <c r="AL175" s="30" t="str" cm="1">
        <f t="array" ref="AL175">_xlfn.IFS(COUNTIF(Table14623576[[#This Row],[Phrases H]],"*H361*"), 10, TRUE, "")</f>
        <v/>
      </c>
      <c r="AM175" s="30" t="str" cm="1">
        <f t="array" ref="AM175">_xlfn.IFS(COUNTIF(Table14623576[[#This Row],[Phrases H]],"*H362*"), 10, TRUE, "")</f>
        <v/>
      </c>
      <c r="AN175" s="30" t="str" cm="1">
        <f t="array" ref="AN175">_xlfn.IFS(COUNTIF(Table14623576[[#This Row],[Phrases H]],"*H341*"), 10, TRUE, "")</f>
        <v/>
      </c>
      <c r="AO175" s="30" t="str" cm="1">
        <f t="array" ref="AO175">_xlfn.IFS(COUNTIF(Table14623576[[#This Row],[Phrases H]],"*H372*"), 10, TRUE, "")</f>
        <v/>
      </c>
      <c r="AP175" s="30" t="str" cm="1">
        <f t="array" ref="AP175">_xlfn.IFS(COUNTIF(Table14623576[[#This Row],[Phrases H]],"*H410*"), 10, TRUE, "")</f>
        <v/>
      </c>
      <c r="AQ175" s="30" t="str" cm="1">
        <f t="array" ref="AQ175">_xlfn.IFS(COUNTIF(Table14623576[[#This Row],[Phrases H]],"*H373*"), 5, TRUE, "")</f>
        <v/>
      </c>
      <c r="AR175" s="30" t="str" cm="1">
        <f t="array" ref="AR175">_xlfn.IFS(COUNTIF(Table14623576[[#This Row],[Phrases H]],"*H411*"), 5, TRUE, "")</f>
        <v/>
      </c>
      <c r="AS175" s="112">
        <f t="shared" si="97"/>
        <v>0</v>
      </c>
      <c r="AT175" s="144" t="s">
        <v>88</v>
      </c>
      <c r="AU175" s="144" t="s">
        <v>88</v>
      </c>
      <c r="AV175" s="114" t="str">
        <f t="shared" si="76"/>
        <v>N/A</v>
      </c>
      <c r="AW175" s="115">
        <v>20</v>
      </c>
      <c r="AX175" s="116">
        <f t="shared" si="100"/>
        <v>20</v>
      </c>
      <c r="AY175" s="117">
        <f t="shared" si="101"/>
        <v>0.23529411764705882</v>
      </c>
      <c r="AZ175" s="118" t="str">
        <f t="shared" si="89"/>
        <v>4</v>
      </c>
      <c r="BA175" s="119" t="str">
        <f t="shared" si="102"/>
        <v>4</v>
      </c>
      <c r="BB175" s="145"/>
      <c r="BC175" s="144">
        <v>10000000</v>
      </c>
      <c r="BD175" s="113" t="s">
        <v>97</v>
      </c>
      <c r="BE175" s="120">
        <f t="shared" si="111"/>
        <v>25</v>
      </c>
      <c r="BF175" s="121" t="str">
        <f t="shared" si="98"/>
        <v>Production très élevée</v>
      </c>
      <c r="BG175" s="122" t="str">
        <f t="shared" si="99"/>
        <v>A</v>
      </c>
      <c r="BH175" s="145"/>
      <c r="BI175" s="7"/>
      <c r="BJ175" s="130">
        <v>0</v>
      </c>
      <c r="BK175" s="7"/>
      <c r="BL175" s="131">
        <v>0</v>
      </c>
      <c r="BM175" s="132" t="s">
        <v>99</v>
      </c>
      <c r="BN175"/>
      <c r="BO175" s="60" t="str">
        <f t="shared" si="94"/>
        <v>Catégorie 4A NON</v>
      </c>
      <c r="BP175"/>
      <c r="BQ175" s="42" t="s">
        <v>88</v>
      </c>
      <c r="BR175"/>
      <c r="BS175" s="187" t="str">
        <f t="shared" si="103"/>
        <v/>
      </c>
      <c r="BT175" s="19" t="str">
        <f t="shared" si="104"/>
        <v/>
      </c>
      <c r="BU175" s="19" t="str">
        <f t="shared" si="105"/>
        <v/>
      </c>
      <c r="BV175" s="10"/>
      <c r="BW175" s="5" t="str">
        <f t="shared" si="106"/>
        <v/>
      </c>
      <c r="BX175" s="5" t="str">
        <f t="shared" si="107"/>
        <v/>
      </c>
      <c r="BY175"/>
      <c r="BZ175" s="5" t="str">
        <f t="shared" si="108"/>
        <v/>
      </c>
      <c r="CA175" s="5" t="str">
        <f t="shared" si="109"/>
        <v/>
      </c>
      <c r="CB175" s="188" t="str">
        <f t="shared" si="110"/>
        <v/>
      </c>
    </row>
    <row r="176" spans="1:80" s="27" customFormat="1" ht="30" customHeight="1" x14ac:dyDescent="0.55000000000000004">
      <c r="A176" s="154">
        <v>38</v>
      </c>
      <c r="B176" s="104" t="s">
        <v>1607</v>
      </c>
      <c r="C176" s="141" t="s">
        <v>2036</v>
      </c>
      <c r="D176" s="141" t="s">
        <v>2037</v>
      </c>
      <c r="E176" s="154" t="s">
        <v>2038</v>
      </c>
      <c r="F176" s="154" t="s">
        <v>2039</v>
      </c>
      <c r="G176" s="141" t="s">
        <v>2040</v>
      </c>
      <c r="H176" s="141" t="s">
        <v>2041</v>
      </c>
      <c r="I176" s="104"/>
      <c r="J176" s="104"/>
      <c r="K176" s="142" t="s">
        <v>1508</v>
      </c>
      <c r="L176" s="142"/>
      <c r="M176" s="142"/>
      <c r="N176" s="142"/>
      <c r="O176" s="142"/>
      <c r="P176" s="142" t="s">
        <v>85</v>
      </c>
      <c r="Q176" s="142"/>
      <c r="R176" s="142"/>
      <c r="S176" s="142" t="s">
        <v>1615</v>
      </c>
      <c r="T176" s="142"/>
      <c r="U176" s="142" t="s">
        <v>108</v>
      </c>
      <c r="V176" s="142" t="s">
        <v>122</v>
      </c>
      <c r="W176" s="147">
        <v>1000000</v>
      </c>
      <c r="X176" s="104" t="s">
        <v>2042</v>
      </c>
      <c r="Y176" s="104" t="s">
        <v>2043</v>
      </c>
      <c r="Z176" s="104" t="s">
        <v>2044</v>
      </c>
      <c r="AA176" s="104"/>
      <c r="AB176" s="104" t="s">
        <v>2045</v>
      </c>
      <c r="AC176" s="104" t="s">
        <v>2046</v>
      </c>
      <c r="AD176" s="142" t="s">
        <v>2047</v>
      </c>
      <c r="AE176" s="1"/>
      <c r="AF176" s="30" t="str" cm="1">
        <f t="array" ref="AF176">_xlfn.IFS(COUNTIF(Table14623576[[#This Row],[PBT/ vPvB]],"*X*"), 20, TRUE, "")</f>
        <v/>
      </c>
      <c r="AG176" s="30" t="str" cm="1">
        <f t="array" ref="AG176">_xlfn.IFS(COUNTIF(Table14623576[[#This Row],[Perturbateur Endocrinien]],"*X*"), 20, TRUE, "")</f>
        <v/>
      </c>
      <c r="AH176" s="30" t="str" cm="1">
        <f t="array" ref="AH176">_xlfn.IFS(COUNTIF(Table14623576[[#This Row],[Phrases H]],"*H350*"), 20, TRUE, "")</f>
        <v/>
      </c>
      <c r="AI176" s="30" t="str" cm="1">
        <f t="array" ref="AI176">_xlfn.IFS(COUNTIF(Table14623576[[#This Row],[Phrases H]],"*H360*"), 20, TRUE, "")</f>
        <v/>
      </c>
      <c r="AJ176" s="30" t="str" cm="1">
        <f t="array" ref="AJ176">_xlfn.IFS(COUNTIF(Table14623576[[#This Row],[Phrases H]],"*H340*"), 20, TRUE, "")</f>
        <v/>
      </c>
      <c r="AK176" s="30" t="str" cm="1">
        <f t="array" ref="AK176">_xlfn.IFS(COUNTIF(Table14623576[[#This Row],[Phrases H]],"*H351*"), 10, TRUE, "")</f>
        <v/>
      </c>
      <c r="AL176" s="30" t="str" cm="1">
        <f t="array" ref="AL176">_xlfn.IFS(COUNTIF(Table14623576[[#This Row],[Phrases H]],"*H361*"), 10, TRUE, "")</f>
        <v/>
      </c>
      <c r="AM176" s="30" t="str" cm="1">
        <f t="array" ref="AM176">_xlfn.IFS(COUNTIF(Table14623576[[#This Row],[Phrases H]],"*H362*"), 10, TRUE, "")</f>
        <v/>
      </c>
      <c r="AN176" s="30" t="str" cm="1">
        <f t="array" ref="AN176">_xlfn.IFS(COUNTIF(Table14623576[[#This Row],[Phrases H]],"*H341*"), 10, TRUE, "")</f>
        <v/>
      </c>
      <c r="AO176" s="30" t="str" cm="1">
        <f t="array" ref="AO176">_xlfn.IFS(COUNTIF(Table14623576[[#This Row],[Phrases H]],"*H372*"), 10, TRUE, "")</f>
        <v/>
      </c>
      <c r="AP176" s="30" t="str" cm="1">
        <f t="array" ref="AP176">_xlfn.IFS(COUNTIF(Table14623576[[#This Row],[Phrases H]],"*H410*"), 10, TRUE, "")</f>
        <v/>
      </c>
      <c r="AQ176" s="30" t="str" cm="1">
        <f t="array" ref="AQ176">_xlfn.IFS(COUNTIF(Table14623576[[#This Row],[Phrases H]],"*H373*"), 5, TRUE, "")</f>
        <v/>
      </c>
      <c r="AR176" s="30" t="str" cm="1">
        <f t="array" ref="AR176">_xlfn.IFS(COUNTIF(Table14623576[[#This Row],[Phrases H]],"*H411*"), 5, TRUE, "")</f>
        <v/>
      </c>
      <c r="AS176" s="112">
        <f t="shared" si="97"/>
        <v>0</v>
      </c>
      <c r="AT176" s="144" t="s">
        <v>2045</v>
      </c>
      <c r="AU176" s="144">
        <v>1000000</v>
      </c>
      <c r="AV176" s="114">
        <f t="shared" si="76"/>
        <v>50</v>
      </c>
      <c r="AW176" s="115" t="str">
        <f>IF(AT176="0","0",IF(AT176&lt;2,"20",IF(AT176&lt;3,"10","0")))</f>
        <v>0</v>
      </c>
      <c r="AX176" s="116">
        <f t="shared" si="100"/>
        <v>0</v>
      </c>
      <c r="AY176" s="117">
        <f t="shared" si="101"/>
        <v>0</v>
      </c>
      <c r="AZ176" s="118" t="str">
        <f t="shared" si="89"/>
        <v>5</v>
      </c>
      <c r="BA176" s="119" t="str">
        <f t="shared" si="102"/>
        <v>5</v>
      </c>
      <c r="BB176" s="145"/>
      <c r="BC176" s="144">
        <v>100000</v>
      </c>
      <c r="BD176" s="113" t="s">
        <v>97</v>
      </c>
      <c r="BE176" s="120">
        <f t="shared" si="111"/>
        <v>25</v>
      </c>
      <c r="BF176" s="121" t="str">
        <f t="shared" si="98"/>
        <v>Production très élevée</v>
      </c>
      <c r="BG176" s="122" t="str">
        <f t="shared" si="99"/>
        <v>A</v>
      </c>
      <c r="BH176" s="145"/>
      <c r="BI176" s="7"/>
      <c r="BJ176" s="130">
        <v>0</v>
      </c>
      <c r="BK176" s="7"/>
      <c r="BL176" s="131">
        <v>0</v>
      </c>
      <c r="BM176" s="132" t="s">
        <v>99</v>
      </c>
      <c r="BN176"/>
      <c r="BO176" s="60" t="str">
        <f t="shared" si="94"/>
        <v>Catégorie 5A NON</v>
      </c>
      <c r="BP176"/>
      <c r="BQ176" s="42" t="s">
        <v>88</v>
      </c>
      <c r="BR176"/>
      <c r="BS176" s="187" t="str">
        <f t="shared" si="103"/>
        <v/>
      </c>
      <c r="BT176" s="19" t="str">
        <f t="shared" si="104"/>
        <v/>
      </c>
      <c r="BU176" s="19" t="str">
        <f t="shared" si="105"/>
        <v/>
      </c>
      <c r="BV176" s="10"/>
      <c r="BW176" s="5" t="str">
        <f t="shared" si="106"/>
        <v/>
      </c>
      <c r="BX176" s="5" t="str">
        <f t="shared" si="107"/>
        <v/>
      </c>
      <c r="BY176"/>
      <c r="BZ176" s="5" t="str">
        <f t="shared" si="108"/>
        <v/>
      </c>
      <c r="CA176" s="5" t="str">
        <f t="shared" si="109"/>
        <v/>
      </c>
      <c r="CB176" s="188" t="str">
        <f t="shared" si="110"/>
        <v/>
      </c>
    </row>
    <row r="177" spans="1:80" s="27" customFormat="1" ht="30" customHeight="1" x14ac:dyDescent="0.55000000000000004">
      <c r="A177" s="154">
        <v>39</v>
      </c>
      <c r="B177" s="104" t="s">
        <v>1607</v>
      </c>
      <c r="C177" s="141" t="s">
        <v>2048</v>
      </c>
      <c r="D177" s="141" t="s">
        <v>2049</v>
      </c>
      <c r="E177" s="155" t="s">
        <v>2050</v>
      </c>
      <c r="F177" s="154" t="s">
        <v>2051</v>
      </c>
      <c r="G177" s="141" t="s">
        <v>2052</v>
      </c>
      <c r="H177" s="141" t="s">
        <v>2053</v>
      </c>
      <c r="I177" s="104"/>
      <c r="J177" s="104"/>
      <c r="K177" s="142" t="s">
        <v>88</v>
      </c>
      <c r="L177" s="142"/>
      <c r="M177" s="142"/>
      <c r="N177" s="142"/>
      <c r="O177" s="142" t="s">
        <v>85</v>
      </c>
      <c r="P177" s="142"/>
      <c r="Q177" s="142"/>
      <c r="R177" s="142"/>
      <c r="S177" s="142" t="s">
        <v>88</v>
      </c>
      <c r="T177" s="142" t="s">
        <v>85</v>
      </c>
      <c r="U177" s="142" t="s">
        <v>2054</v>
      </c>
      <c r="V177" s="142" t="s">
        <v>88</v>
      </c>
      <c r="W177" s="147" t="s">
        <v>2055</v>
      </c>
      <c r="X177" s="104" t="s">
        <v>2056</v>
      </c>
      <c r="Y177" s="104" t="s">
        <v>2057</v>
      </c>
      <c r="Z177" s="104" t="s">
        <v>2058</v>
      </c>
      <c r="AA177" s="104"/>
      <c r="AB177" s="104" t="s">
        <v>2059</v>
      </c>
      <c r="AC177" s="104" t="s">
        <v>2060</v>
      </c>
      <c r="AD177" s="156" t="s">
        <v>2061</v>
      </c>
      <c r="AE177" s="1"/>
      <c r="AF177" s="30" t="str" cm="1">
        <f t="array" ref="AF177">_xlfn.IFS(COUNTIF(Table14623576[[#This Row],[PBT/ vPvB]],"*X*"), 20, TRUE, "")</f>
        <v/>
      </c>
      <c r="AG177" s="30" cm="1">
        <f t="array" ref="AG177">_xlfn.IFS(COUNTIF(Table14623576[[#This Row],[Perturbateur Endocrinien]],"*X*"), 20, TRUE, "")</f>
        <v>20</v>
      </c>
      <c r="AH177" s="30" t="str" cm="1">
        <f t="array" ref="AH177">_xlfn.IFS(COUNTIF(Table14623576[[#This Row],[Phrases H]],"*H350*"), 20, TRUE, "")</f>
        <v/>
      </c>
      <c r="AI177" s="30" t="str" cm="1">
        <f t="array" ref="AI177">_xlfn.IFS(COUNTIF(Table14623576[[#This Row],[Phrases H]],"*H360*"), 20, TRUE, "")</f>
        <v/>
      </c>
      <c r="AJ177" s="30" t="str" cm="1">
        <f t="array" ref="AJ177">_xlfn.IFS(COUNTIF(Table14623576[[#This Row],[Phrases H]],"*H340*"), 20, TRUE, "")</f>
        <v/>
      </c>
      <c r="AK177" s="30" t="str" cm="1">
        <f t="array" ref="AK177">_xlfn.IFS(COUNTIF(Table14623576[[#This Row],[Phrases H]],"*H351*"), 10, TRUE, "")</f>
        <v/>
      </c>
      <c r="AL177" s="30" cm="1">
        <f t="array" ref="AL177">_xlfn.IFS(COUNTIF(Table14623576[[#This Row],[Phrases H]],"*H361*"), 10, TRUE, "")</f>
        <v>10</v>
      </c>
      <c r="AM177" s="30" t="str" cm="1">
        <f t="array" ref="AM177">_xlfn.IFS(COUNTIF(Table14623576[[#This Row],[Phrases H]],"*H362*"), 10, TRUE, "")</f>
        <v/>
      </c>
      <c r="AN177" s="30" t="str" cm="1">
        <f t="array" ref="AN177">_xlfn.IFS(COUNTIF(Table14623576[[#This Row],[Phrases H]],"*H341*"), 10, TRUE, "")</f>
        <v/>
      </c>
      <c r="AO177" s="30" t="str" cm="1">
        <f t="array" ref="AO177">_xlfn.IFS(COUNTIF(Table14623576[[#This Row],[Phrases H]],"*H372*"), 10, TRUE, "")</f>
        <v/>
      </c>
      <c r="AP177" s="30" cm="1">
        <f t="array" ref="AP177">_xlfn.IFS(COUNTIF(Table14623576[[#This Row],[Phrases H]],"*H410*"), 10, TRUE, "")</f>
        <v>10</v>
      </c>
      <c r="AQ177" s="30" t="str" cm="1">
        <f t="array" ref="AQ177">_xlfn.IFS(COUNTIF(Table14623576[[#This Row],[Phrases H]],"*H373*"), 5, TRUE, "")</f>
        <v/>
      </c>
      <c r="AR177" s="30" t="str" cm="1">
        <f t="array" ref="AR177">_xlfn.IFS(COUNTIF(Table14623576[[#This Row],[Phrases H]],"*H411*"), 5, TRUE, "")</f>
        <v/>
      </c>
      <c r="AS177" s="112">
        <f t="shared" si="97"/>
        <v>40</v>
      </c>
      <c r="AT177" s="144" t="s">
        <v>2059</v>
      </c>
      <c r="AU177" s="144" t="s">
        <v>2055</v>
      </c>
      <c r="AV177" s="114">
        <f t="shared" si="76"/>
        <v>50</v>
      </c>
      <c r="AW177" s="115" t="str">
        <f>IF(AT177="0","0",IF(AT177&lt;2,"20",IF(AT177&lt;3,"10","0")))</f>
        <v>0</v>
      </c>
      <c r="AX177" s="116">
        <f t="shared" si="100"/>
        <v>40</v>
      </c>
      <c r="AY177" s="117">
        <f t="shared" si="101"/>
        <v>0.47058823529411764</v>
      </c>
      <c r="AZ177" s="118" t="str">
        <f t="shared" si="89"/>
        <v>3</v>
      </c>
      <c r="BA177" s="119" t="str">
        <f t="shared" si="102"/>
        <v>3</v>
      </c>
      <c r="BB177" s="145"/>
      <c r="BC177" s="144" t="s">
        <v>88</v>
      </c>
      <c r="BD177" s="113" t="s">
        <v>97</v>
      </c>
      <c r="BE177" s="120">
        <f t="shared" si="111"/>
        <v>0</v>
      </c>
      <c r="BF177" s="121" t="str">
        <f t="shared" si="98"/>
        <v>N/A</v>
      </c>
      <c r="BG177" s="122" t="str">
        <f t="shared" si="99"/>
        <v>E</v>
      </c>
      <c r="BH177" s="145"/>
      <c r="BI177" s="7" t="s">
        <v>2062</v>
      </c>
      <c r="BJ177" s="130">
        <v>2</v>
      </c>
      <c r="BK177" s="7" t="s">
        <v>2062</v>
      </c>
      <c r="BL177" s="131">
        <v>2</v>
      </c>
      <c r="BM177" s="132" t="s">
        <v>131</v>
      </c>
      <c r="BN177"/>
      <c r="BO177" s="60" t="str">
        <f t="shared" si="94"/>
        <v>Catégorie 3E OUI</v>
      </c>
      <c r="BP177"/>
      <c r="BQ177" s="42" t="s">
        <v>150</v>
      </c>
      <c r="BR177"/>
      <c r="BS177" s="187" t="str">
        <f t="shared" si="103"/>
        <v>X</v>
      </c>
      <c r="BT177" s="19" t="str">
        <f t="shared" si="104"/>
        <v/>
      </c>
      <c r="BU177" s="19" t="str">
        <f t="shared" si="105"/>
        <v/>
      </c>
      <c r="BV177" s="10"/>
      <c r="BW177" s="5" t="str">
        <f t="shared" si="106"/>
        <v>X</v>
      </c>
      <c r="BX177" s="5" t="str">
        <f t="shared" si="107"/>
        <v>X</v>
      </c>
      <c r="BY177"/>
      <c r="BZ177" s="5" t="str">
        <f t="shared" si="108"/>
        <v>X</v>
      </c>
      <c r="CA177" s="5" t="str">
        <f t="shared" si="109"/>
        <v>X</v>
      </c>
      <c r="CB177" s="188" t="str">
        <f t="shared" si="110"/>
        <v>X</v>
      </c>
    </row>
    <row r="178" spans="1:80" s="27" customFormat="1" ht="30" customHeight="1" x14ac:dyDescent="0.55000000000000004">
      <c r="A178" s="154">
        <v>40</v>
      </c>
      <c r="B178" s="104" t="s">
        <v>1607</v>
      </c>
      <c r="C178" s="154" t="s">
        <v>2063</v>
      </c>
      <c r="D178" s="154" t="s">
        <v>2064</v>
      </c>
      <c r="E178" s="154" t="s">
        <v>2065</v>
      </c>
      <c r="F178" s="154" t="s">
        <v>2066</v>
      </c>
      <c r="G178" s="154" t="s">
        <v>2067</v>
      </c>
      <c r="H178" s="154" t="s">
        <v>2068</v>
      </c>
      <c r="I178" s="104"/>
      <c r="J178" s="104"/>
      <c r="K178" s="142" t="s">
        <v>2069</v>
      </c>
      <c r="L178" s="142"/>
      <c r="M178" s="142"/>
      <c r="N178" s="142" t="s">
        <v>85</v>
      </c>
      <c r="O178" s="142"/>
      <c r="P178" s="142"/>
      <c r="Q178" s="142"/>
      <c r="R178" s="142"/>
      <c r="S178" s="142" t="s">
        <v>1615</v>
      </c>
      <c r="T178" s="142"/>
      <c r="U178" s="142" t="s">
        <v>108</v>
      </c>
      <c r="V178" s="142" t="s">
        <v>122</v>
      </c>
      <c r="W178" s="142">
        <v>58000</v>
      </c>
      <c r="X178" s="104" t="s">
        <v>2070</v>
      </c>
      <c r="Y178" s="104">
        <v>0</v>
      </c>
      <c r="Z178" s="104" t="s">
        <v>2071</v>
      </c>
      <c r="AA178" s="104"/>
      <c r="AB178" s="104" t="s">
        <v>2072</v>
      </c>
      <c r="AC178" s="104" t="s">
        <v>2073</v>
      </c>
      <c r="AD178" s="142" t="s">
        <v>2074</v>
      </c>
      <c r="AE178" s="1"/>
      <c r="AF178" s="30" t="str" cm="1">
        <f t="array" ref="AF178">_xlfn.IFS(COUNTIF(Table14623576[[#This Row],[PBT/ vPvB]],"*X*"), 20, TRUE, "")</f>
        <v/>
      </c>
      <c r="AG178" s="30" t="str" cm="1">
        <f t="array" ref="AG178">_xlfn.IFS(COUNTIF(Table14623576[[#This Row],[Perturbateur Endocrinien]],"*X*"), 20, TRUE, "")</f>
        <v/>
      </c>
      <c r="AH178" s="30" t="str" cm="1">
        <f t="array" ref="AH178">_xlfn.IFS(COUNTIF(Table14623576[[#This Row],[Phrases H]],"*H350*"), 20, TRUE, "")</f>
        <v/>
      </c>
      <c r="AI178" s="30" t="str" cm="1">
        <f t="array" ref="AI178">_xlfn.IFS(COUNTIF(Table14623576[[#This Row],[Phrases H]],"*H360*"), 20, TRUE, "")</f>
        <v/>
      </c>
      <c r="AJ178" s="30" t="str" cm="1">
        <f t="array" ref="AJ178">_xlfn.IFS(COUNTIF(Table14623576[[#This Row],[Phrases H]],"*H340*"), 20, TRUE, "")</f>
        <v/>
      </c>
      <c r="AK178" s="30" t="str" cm="1">
        <f t="array" ref="AK178">_xlfn.IFS(COUNTIF(Table14623576[[#This Row],[Phrases H]],"*H351*"), 10, TRUE, "")</f>
        <v/>
      </c>
      <c r="AL178" s="30" t="str" cm="1">
        <f t="array" ref="AL178">_xlfn.IFS(COUNTIF(Table14623576[[#This Row],[Phrases H]],"*H361*"), 10, TRUE, "")</f>
        <v/>
      </c>
      <c r="AM178" s="30" t="str" cm="1">
        <f t="array" ref="AM178">_xlfn.IFS(COUNTIF(Table14623576[[#This Row],[Phrases H]],"*H362*"), 10, TRUE, "")</f>
        <v/>
      </c>
      <c r="AN178" s="30" t="str" cm="1">
        <f t="array" ref="AN178">_xlfn.IFS(COUNTIF(Table14623576[[#This Row],[Phrases H]],"*H341*"), 10, TRUE, "")</f>
        <v/>
      </c>
      <c r="AO178" s="30" t="str" cm="1">
        <f t="array" ref="AO178">_xlfn.IFS(COUNTIF(Table14623576[[#This Row],[Phrases H]],"*H372*"), 10, TRUE, "")</f>
        <v/>
      </c>
      <c r="AP178" s="30" t="str" cm="1">
        <f t="array" ref="AP178">_xlfn.IFS(COUNTIF(Table14623576[[#This Row],[Phrases H]],"*H410*"), 10, TRUE, "")</f>
        <v/>
      </c>
      <c r="AQ178" s="30" t="str" cm="1">
        <f t="array" ref="AQ178">_xlfn.IFS(COUNTIF(Table14623576[[#This Row],[Phrases H]],"*H373*"), 5, TRUE, "")</f>
        <v/>
      </c>
      <c r="AR178" s="30" t="str" cm="1">
        <f t="array" ref="AR178">_xlfn.IFS(COUNTIF(Table14623576[[#This Row],[Phrases H]],"*H411*"), 5, TRUE, "")</f>
        <v/>
      </c>
      <c r="AS178" s="112">
        <f t="shared" si="97"/>
        <v>0</v>
      </c>
      <c r="AT178" s="144" t="s">
        <v>2072</v>
      </c>
      <c r="AU178" s="144">
        <v>58000</v>
      </c>
      <c r="AV178" s="114">
        <f t="shared" si="76"/>
        <v>40</v>
      </c>
      <c r="AW178" s="115" t="str">
        <f>IF(AT178="0","0",IF(AT178&lt;2,"20",IF(AT178&lt;3,"10","0")))</f>
        <v>0</v>
      </c>
      <c r="AX178" s="116">
        <f t="shared" si="100"/>
        <v>0</v>
      </c>
      <c r="AY178" s="117">
        <f t="shared" si="101"/>
        <v>0</v>
      </c>
      <c r="AZ178" s="118" t="str">
        <f t="shared" si="89"/>
        <v>5</v>
      </c>
      <c r="BA178" s="119" t="str">
        <f t="shared" si="102"/>
        <v>5</v>
      </c>
      <c r="BB178" s="145"/>
      <c r="BC178" s="144">
        <v>100000</v>
      </c>
      <c r="BD178" s="113" t="s">
        <v>97</v>
      </c>
      <c r="BE178" s="120">
        <f t="shared" si="111"/>
        <v>25</v>
      </c>
      <c r="BF178" s="121" t="str">
        <f t="shared" si="98"/>
        <v>Production très élevée</v>
      </c>
      <c r="BG178" s="122" t="str">
        <f t="shared" si="99"/>
        <v>A</v>
      </c>
      <c r="BH178" s="145"/>
      <c r="BI178" s="7"/>
      <c r="BJ178" s="130">
        <v>0</v>
      </c>
      <c r="BK178" s="7"/>
      <c r="BL178" s="131">
        <v>0</v>
      </c>
      <c r="BM178" s="132" t="s">
        <v>99</v>
      </c>
      <c r="BN178"/>
      <c r="BO178" s="60" t="str">
        <f t="shared" si="94"/>
        <v>Catégorie 5A NON</v>
      </c>
      <c r="BP178"/>
      <c r="BQ178" s="42" t="s">
        <v>88</v>
      </c>
      <c r="BR178"/>
      <c r="BS178" s="187" t="str">
        <f t="shared" si="103"/>
        <v/>
      </c>
      <c r="BT178" s="19" t="str">
        <f t="shared" si="104"/>
        <v/>
      </c>
      <c r="BU178" s="19" t="str">
        <f t="shared" si="105"/>
        <v/>
      </c>
      <c r="BV178" s="10"/>
      <c r="BW178" s="5" t="str">
        <f t="shared" si="106"/>
        <v/>
      </c>
      <c r="BX178" s="5" t="str">
        <f t="shared" si="107"/>
        <v/>
      </c>
      <c r="BY178"/>
      <c r="BZ178" s="5" t="str">
        <f t="shared" si="108"/>
        <v/>
      </c>
      <c r="CA178" s="5" t="str">
        <f t="shared" si="109"/>
        <v/>
      </c>
      <c r="CB178" s="188" t="str">
        <f t="shared" si="110"/>
        <v/>
      </c>
    </row>
    <row r="179" spans="1:80" s="27" customFormat="1" ht="30" customHeight="1" x14ac:dyDescent="0.55000000000000004">
      <c r="A179" s="154">
        <v>41</v>
      </c>
      <c r="B179" s="104" t="s">
        <v>1607</v>
      </c>
      <c r="C179" s="154" t="s">
        <v>2075</v>
      </c>
      <c r="D179" s="154" t="s">
        <v>2076</v>
      </c>
      <c r="E179" s="154" t="s">
        <v>2077</v>
      </c>
      <c r="F179" s="154" t="s">
        <v>2078</v>
      </c>
      <c r="G179" s="154" t="s">
        <v>2079</v>
      </c>
      <c r="H179" s="154" t="s">
        <v>2080</v>
      </c>
      <c r="I179" s="104"/>
      <c r="J179" s="104"/>
      <c r="K179" s="142" t="s">
        <v>304</v>
      </c>
      <c r="L179" s="142"/>
      <c r="M179" s="142"/>
      <c r="N179" s="142" t="s">
        <v>85</v>
      </c>
      <c r="O179" s="142"/>
      <c r="P179" s="142"/>
      <c r="Q179" s="142"/>
      <c r="R179" s="142"/>
      <c r="S179" s="142" t="s">
        <v>1615</v>
      </c>
      <c r="T179" s="142"/>
      <c r="U179" s="142" t="s">
        <v>2081</v>
      </c>
      <c r="V179" s="142" t="s">
        <v>122</v>
      </c>
      <c r="W179" s="142">
        <v>13</v>
      </c>
      <c r="X179" s="104" t="s">
        <v>2082</v>
      </c>
      <c r="Y179" s="104" t="s">
        <v>1713</v>
      </c>
      <c r="Z179" s="104" t="s">
        <v>2083</v>
      </c>
      <c r="AA179" s="104"/>
      <c r="AB179" s="104" t="s">
        <v>2084</v>
      </c>
      <c r="AC179" s="104" t="s">
        <v>2085</v>
      </c>
      <c r="AD179" s="142" t="s">
        <v>2086</v>
      </c>
      <c r="AE179" s="1"/>
      <c r="AF179" s="30" t="str" cm="1">
        <f t="array" ref="AF179">_xlfn.IFS(COUNTIF(Table14623576[[#This Row],[PBT/ vPvB]],"*X*"), 20, TRUE, "")</f>
        <v/>
      </c>
      <c r="AG179" s="30" t="str" cm="1">
        <f t="array" ref="AG179">_xlfn.IFS(COUNTIF(Table14623576[[#This Row],[Perturbateur Endocrinien]],"*X*"), 20, TRUE, "")</f>
        <v/>
      </c>
      <c r="AH179" s="30" t="str" cm="1">
        <f t="array" ref="AH179">_xlfn.IFS(COUNTIF(Table14623576[[#This Row],[Phrases H]],"*H350*"), 20, TRUE, "")</f>
        <v/>
      </c>
      <c r="AI179" s="30" t="str" cm="1">
        <f t="array" ref="AI179">_xlfn.IFS(COUNTIF(Table14623576[[#This Row],[Phrases H]],"*H360*"), 20, TRUE, "")</f>
        <v/>
      </c>
      <c r="AJ179" s="30" t="str" cm="1">
        <f t="array" ref="AJ179">_xlfn.IFS(COUNTIF(Table14623576[[#This Row],[Phrases H]],"*H340*"), 20, TRUE, "")</f>
        <v/>
      </c>
      <c r="AK179" s="30" t="str" cm="1">
        <f t="array" ref="AK179">_xlfn.IFS(COUNTIF(Table14623576[[#This Row],[Phrases H]],"*H351*"), 10, TRUE, "")</f>
        <v/>
      </c>
      <c r="AL179" s="30" cm="1">
        <f t="array" ref="AL179">_xlfn.IFS(COUNTIF(Table14623576[[#This Row],[Phrases H]],"*H361*"), 10, TRUE, "")</f>
        <v>10</v>
      </c>
      <c r="AM179" s="30" t="str" cm="1">
        <f t="array" ref="AM179">_xlfn.IFS(COUNTIF(Table14623576[[#This Row],[Phrases H]],"*H362*"), 10, TRUE, "")</f>
        <v/>
      </c>
      <c r="AN179" s="30" t="str" cm="1">
        <f t="array" ref="AN179">_xlfn.IFS(COUNTIF(Table14623576[[#This Row],[Phrases H]],"*H341*"), 10, TRUE, "")</f>
        <v/>
      </c>
      <c r="AO179" s="30" t="str" cm="1">
        <f t="array" ref="AO179">_xlfn.IFS(COUNTIF(Table14623576[[#This Row],[Phrases H]],"*H372*"), 10, TRUE, "")</f>
        <v/>
      </c>
      <c r="AP179" s="30" t="str" cm="1">
        <f t="array" ref="AP179">_xlfn.IFS(COUNTIF(Table14623576[[#This Row],[Phrases H]],"*H410*"), 10, TRUE, "")</f>
        <v/>
      </c>
      <c r="AQ179" s="30" t="str" cm="1">
        <f t="array" ref="AQ179">_xlfn.IFS(COUNTIF(Table14623576[[#This Row],[Phrases H]],"*H373*"), 5, TRUE, "")</f>
        <v/>
      </c>
      <c r="AR179" s="30" t="str" cm="1">
        <f t="array" ref="AR179">_xlfn.IFS(COUNTIF(Table14623576[[#This Row],[Phrases H]],"*H411*"), 5, TRUE, "")</f>
        <v/>
      </c>
      <c r="AS179" s="112">
        <f t="shared" si="97"/>
        <v>10</v>
      </c>
      <c r="AT179" s="144" t="s">
        <v>2084</v>
      </c>
      <c r="AU179" s="144">
        <v>13</v>
      </c>
      <c r="AV179" s="114">
        <f t="shared" si="76"/>
        <v>30</v>
      </c>
      <c r="AW179" s="115" t="str">
        <f>IF(AT179="0","0",IF(AT179&lt;2,"20",IF(AT179&lt;3,"10","0")))</f>
        <v>0</v>
      </c>
      <c r="AX179" s="116">
        <f t="shared" si="100"/>
        <v>10</v>
      </c>
      <c r="AY179" s="117">
        <f t="shared" si="101"/>
        <v>0.11764705882352941</v>
      </c>
      <c r="AZ179" s="118" t="str">
        <f t="shared" si="89"/>
        <v>5</v>
      </c>
      <c r="BA179" s="119" t="str">
        <f t="shared" si="102"/>
        <v>5</v>
      </c>
      <c r="BB179" s="145"/>
      <c r="BC179" s="144">
        <v>10000</v>
      </c>
      <c r="BD179" s="113" t="s">
        <v>97</v>
      </c>
      <c r="BE179" s="120">
        <f t="shared" si="111"/>
        <v>20</v>
      </c>
      <c r="BF179" s="121" t="str">
        <f t="shared" si="98"/>
        <v>Production élevée</v>
      </c>
      <c r="BG179" s="122" t="str">
        <f t="shared" si="99"/>
        <v>B</v>
      </c>
      <c r="BH179" s="145"/>
      <c r="BI179" s="7"/>
      <c r="BJ179" s="130">
        <v>0</v>
      </c>
      <c r="BK179" s="7"/>
      <c r="BL179" s="131">
        <v>0</v>
      </c>
      <c r="BM179" s="132" t="s">
        <v>99</v>
      </c>
      <c r="BN179"/>
      <c r="BO179" s="60" t="str">
        <f t="shared" si="94"/>
        <v>Catégorie 5B NON</v>
      </c>
      <c r="BP179"/>
      <c r="BQ179" s="42" t="s">
        <v>88</v>
      </c>
      <c r="BR179"/>
      <c r="BS179" s="187" t="str">
        <f t="shared" si="103"/>
        <v/>
      </c>
      <c r="BT179" s="19" t="str">
        <f t="shared" si="104"/>
        <v/>
      </c>
      <c r="BU179" s="19" t="str">
        <f t="shared" si="105"/>
        <v/>
      </c>
      <c r="BV179" s="10"/>
      <c r="BW179" s="5" t="str">
        <f t="shared" si="106"/>
        <v/>
      </c>
      <c r="BX179" s="5" t="str">
        <f t="shared" si="107"/>
        <v/>
      </c>
      <c r="BY179"/>
      <c r="BZ179" s="5" t="str">
        <f t="shared" si="108"/>
        <v/>
      </c>
      <c r="CA179" s="5" t="str">
        <f t="shared" si="109"/>
        <v/>
      </c>
      <c r="CB179" s="188" t="str">
        <f t="shared" si="110"/>
        <v/>
      </c>
    </row>
    <row r="180" spans="1:80" s="27" customFormat="1" ht="30" customHeight="1" x14ac:dyDescent="0.55000000000000004">
      <c r="A180" s="104">
        <v>1</v>
      </c>
      <c r="B180" s="104" t="s">
        <v>2087</v>
      </c>
      <c r="C180" s="111" t="s">
        <v>2088</v>
      </c>
      <c r="D180" s="104" t="s">
        <v>2089</v>
      </c>
      <c r="E180" s="104" t="s">
        <v>2090</v>
      </c>
      <c r="F180" s="104" t="s">
        <v>2091</v>
      </c>
      <c r="G180" s="155" t="s">
        <v>2092</v>
      </c>
      <c r="H180" s="141" t="s">
        <v>2093</v>
      </c>
      <c r="I180" s="104"/>
      <c r="J180" s="104"/>
      <c r="K180" s="142" t="s">
        <v>2094</v>
      </c>
      <c r="L180" s="142" t="s">
        <v>85</v>
      </c>
      <c r="M180" s="142"/>
      <c r="N180" s="142"/>
      <c r="O180" s="142" t="s">
        <v>85</v>
      </c>
      <c r="P180" s="142"/>
      <c r="Q180" s="142"/>
      <c r="R180" s="142" t="s">
        <v>85</v>
      </c>
      <c r="S180" s="142" t="s">
        <v>2095</v>
      </c>
      <c r="T180" s="142"/>
      <c r="U180" s="142" t="s">
        <v>2096</v>
      </c>
      <c r="V180" s="142" t="s">
        <v>173</v>
      </c>
      <c r="W180" s="142">
        <v>0.47</v>
      </c>
      <c r="X180" s="142">
        <v>2.1000000000000001E-2</v>
      </c>
      <c r="Y180" s="142" t="s">
        <v>88</v>
      </c>
      <c r="Z180" s="142" t="s">
        <v>2097</v>
      </c>
      <c r="AA180" s="104"/>
      <c r="AB180" s="143">
        <v>5.3</v>
      </c>
      <c r="AC180" s="142">
        <v>199500</v>
      </c>
      <c r="AD180" s="142" t="s">
        <v>2098</v>
      </c>
      <c r="AE180" s="1"/>
      <c r="AF180" s="30" cm="1">
        <f t="array" ref="AF180">_xlfn.IFS(COUNTIF(Table14623576[[#This Row],[PBT/ vPvB]],"*X*"), 20, TRUE, "")</f>
        <v>20</v>
      </c>
      <c r="AG180" s="30" t="str" cm="1">
        <f t="array" ref="AG180">_xlfn.IFS(COUNTIF(Table14623576[[#This Row],[Perturbateur Endocrinien]],"*X*"), 20, TRUE, "")</f>
        <v/>
      </c>
      <c r="AH180" s="30" t="str" cm="1">
        <f t="array" ref="AH180">_xlfn.IFS(COUNTIF(Table14623576[[#This Row],[Phrases H]],"*H350*"), 20, TRUE, "")</f>
        <v/>
      </c>
      <c r="AI180" s="30" t="str" cm="1">
        <f t="array" ref="AI180">_xlfn.IFS(COUNTIF(Table14623576[[#This Row],[Phrases H]],"*H360*"), 20, TRUE, "")</f>
        <v/>
      </c>
      <c r="AJ180" s="30" t="str" cm="1">
        <f t="array" ref="AJ180">_xlfn.IFS(COUNTIF(Table14623576[[#This Row],[Phrases H]],"*H340*"), 20, TRUE, "")</f>
        <v/>
      </c>
      <c r="AK180" s="30" cm="1">
        <f t="array" ref="AK180">_xlfn.IFS(COUNTIF(Table14623576[[#This Row],[Phrases H]],"*H351*"), 10, TRUE, "")</f>
        <v>10</v>
      </c>
      <c r="AL180" s="30" t="str" cm="1">
        <f t="array" ref="AL180">_xlfn.IFS(COUNTIF(Table14623576[[#This Row],[Phrases H]],"*H361*"), 10, TRUE, "")</f>
        <v/>
      </c>
      <c r="AM180" s="30" t="str" cm="1">
        <f t="array" ref="AM180">_xlfn.IFS(COUNTIF(Table14623576[[#This Row],[Phrases H]],"*H362*"), 10, TRUE, "")</f>
        <v/>
      </c>
      <c r="AN180" s="30" t="str" cm="1">
        <f t="array" ref="AN180">_xlfn.IFS(COUNTIF(Table14623576[[#This Row],[Phrases H]],"*H341*"), 10, TRUE, "")</f>
        <v/>
      </c>
      <c r="AO180" s="30" t="str" cm="1">
        <f t="array" ref="AO180">_xlfn.IFS(COUNTIF(Table14623576[[#This Row],[Phrases H]],"*H372*"), 10, TRUE, "")</f>
        <v/>
      </c>
      <c r="AP180" s="30" cm="1">
        <f t="array" ref="AP180">_xlfn.IFS(COUNTIF(Table14623576[[#This Row],[Phrases H]],"*H410*"), 10, TRUE, "")</f>
        <v>10</v>
      </c>
      <c r="AQ180" s="30" t="str" cm="1">
        <f t="array" ref="AQ180">_xlfn.IFS(COUNTIF(Table14623576[[#This Row],[Phrases H]],"*H373*"), 5, TRUE, "")</f>
        <v/>
      </c>
      <c r="AR180" s="30" t="str" cm="1">
        <f t="array" ref="AR180">_xlfn.IFS(COUNTIF(Table14623576[[#This Row],[Phrases H]],"*H411*"), 5, TRUE, "")</f>
        <v/>
      </c>
      <c r="AS180" s="112">
        <f t="shared" si="97"/>
        <v>40</v>
      </c>
      <c r="AT180" s="144">
        <v>5.3</v>
      </c>
      <c r="AU180" s="144">
        <v>0.47</v>
      </c>
      <c r="AV180" s="114">
        <f t="shared" si="76"/>
        <v>20</v>
      </c>
      <c r="AW180" s="115" t="str">
        <f>IF(AT180="0","0",IF(AT180&lt;2,"20",IF(AT180&lt;3,"10","0")))</f>
        <v>0</v>
      </c>
      <c r="AX180" s="116">
        <f t="shared" si="100"/>
        <v>40</v>
      </c>
      <c r="AY180" s="117">
        <f t="shared" si="101"/>
        <v>0.47058823529411764</v>
      </c>
      <c r="AZ180" s="118" t="str">
        <f t="shared" si="89"/>
        <v>3</v>
      </c>
      <c r="BA180" s="119" t="str">
        <f t="shared" si="102"/>
        <v>3</v>
      </c>
      <c r="BB180" s="145"/>
      <c r="BC180" s="144" t="s">
        <v>88</v>
      </c>
      <c r="BD180" s="113" t="s">
        <v>97</v>
      </c>
      <c r="BE180" s="120">
        <f t="shared" si="111"/>
        <v>0</v>
      </c>
      <c r="BF180" s="121" t="str">
        <f t="shared" si="98"/>
        <v>N/A</v>
      </c>
      <c r="BG180" s="122" t="str">
        <f t="shared" si="99"/>
        <v>E</v>
      </c>
      <c r="BH180" s="145"/>
      <c r="BI180" s="7" t="s">
        <v>1606</v>
      </c>
      <c r="BJ180" s="130">
        <v>2</v>
      </c>
      <c r="BK180" s="7" t="s">
        <v>231</v>
      </c>
      <c r="BL180" s="131">
        <v>1</v>
      </c>
      <c r="BM180" s="132" t="s">
        <v>131</v>
      </c>
      <c r="BN180"/>
      <c r="BO180" s="60" t="str">
        <f t="shared" si="94"/>
        <v>Catégorie 3E OUI</v>
      </c>
      <c r="BP180"/>
      <c r="BQ180" s="42" t="s">
        <v>150</v>
      </c>
      <c r="BR180"/>
      <c r="BS180" s="187" t="str">
        <f t="shared" si="103"/>
        <v>X</v>
      </c>
      <c r="BT180" s="19" t="str">
        <f t="shared" si="104"/>
        <v/>
      </c>
      <c r="BU180" s="19" t="str">
        <f t="shared" si="105"/>
        <v/>
      </c>
      <c r="BV180" s="10"/>
      <c r="BW180" s="5" t="str">
        <f t="shared" si="106"/>
        <v>X</v>
      </c>
      <c r="BX180" s="5" t="str">
        <f t="shared" si="107"/>
        <v>X</v>
      </c>
      <c r="BY180"/>
      <c r="BZ180" s="5" t="str">
        <f t="shared" si="108"/>
        <v>X</v>
      </c>
      <c r="CA180" s="5" t="str">
        <f t="shared" si="109"/>
        <v>X</v>
      </c>
      <c r="CB180" s="188" t="str">
        <f t="shared" si="110"/>
        <v>X</v>
      </c>
    </row>
    <row r="181" spans="1:80" ht="30" hidden="1" customHeight="1" thickBot="1" x14ac:dyDescent="0.6">
      <c r="A181"/>
      <c r="K181"/>
      <c r="R181"/>
      <c r="S181" s="1"/>
      <c r="T181"/>
      <c r="U181"/>
      <c r="V181"/>
      <c r="BI181" s="1"/>
      <c r="BK181" s="1"/>
      <c r="BS181" s="189">
        <f t="shared" ref="BS181:BX181" si="112">COUNTIF(BS5:BS180,"X")</f>
        <v>52</v>
      </c>
      <c r="BT181" s="190">
        <f t="shared" si="112"/>
        <v>23</v>
      </c>
      <c r="BU181" s="190">
        <f t="shared" si="112"/>
        <v>10</v>
      </c>
      <c r="BV181" s="191"/>
      <c r="BW181" s="190">
        <f t="shared" si="112"/>
        <v>64</v>
      </c>
      <c r="BX181" s="190">
        <f t="shared" si="112"/>
        <v>42</v>
      </c>
      <c r="BY181" s="191"/>
      <c r="BZ181" s="190">
        <f t="shared" ref="BZ181:CB181" si="113">COUNTIF(BZ5:BZ180,"X")</f>
        <v>68</v>
      </c>
      <c r="CB181" s="192">
        <f t="shared" si="113"/>
        <v>44</v>
      </c>
    </row>
    <row r="182" spans="1:80" ht="30" customHeight="1" thickBot="1" x14ac:dyDescent="0.6">
      <c r="A182"/>
      <c r="K182"/>
      <c r="R182"/>
      <c r="S182" s="1"/>
      <c r="T182"/>
      <c r="U182"/>
      <c r="V182"/>
      <c r="CA182" s="190">
        <f>COUNTIF(CA5:CA180,"X")</f>
        <v>51</v>
      </c>
    </row>
    <row r="183" spans="1:80" ht="30" customHeight="1" x14ac:dyDescent="0.55000000000000004">
      <c r="A183"/>
      <c r="K183"/>
      <c r="R183"/>
      <c r="S183" s="1"/>
      <c r="T183"/>
      <c r="U183"/>
      <c r="V183"/>
    </row>
    <row r="184" spans="1:80" ht="30" customHeight="1" x14ac:dyDescent="0.55000000000000004">
      <c r="A184"/>
      <c r="K184"/>
      <c r="R184"/>
      <c r="S184" s="1"/>
      <c r="T184"/>
      <c r="U184"/>
      <c r="V184"/>
    </row>
    <row r="185" spans="1:80" ht="30" customHeight="1" x14ac:dyDescent="0.55000000000000004">
      <c r="A185"/>
      <c r="K185"/>
      <c r="R185"/>
      <c r="S185" s="1"/>
      <c r="T185"/>
      <c r="U185"/>
      <c r="V185"/>
    </row>
    <row r="186" spans="1:80" ht="30" customHeight="1" x14ac:dyDescent="0.55000000000000004">
      <c r="A186"/>
      <c r="K186"/>
      <c r="R186"/>
      <c r="S186" s="1"/>
      <c r="T186"/>
      <c r="U186"/>
      <c r="V186"/>
    </row>
    <row r="187" spans="1:80" ht="30" customHeight="1" x14ac:dyDescent="0.55000000000000004">
      <c r="A187"/>
      <c r="K187"/>
      <c r="R187"/>
      <c r="S187" s="1"/>
      <c r="T187"/>
      <c r="U187"/>
      <c r="V187"/>
    </row>
    <row r="188" spans="1:80" ht="30" customHeight="1" x14ac:dyDescent="0.55000000000000004">
      <c r="A188"/>
      <c r="K188"/>
      <c r="R188"/>
      <c r="S188" s="1"/>
      <c r="T188"/>
      <c r="U188"/>
      <c r="V188"/>
    </row>
    <row r="189" spans="1:80" ht="30" customHeight="1" x14ac:dyDescent="0.55000000000000004">
      <c r="A189"/>
      <c r="K189"/>
      <c r="R189"/>
      <c r="S189" s="1"/>
      <c r="T189"/>
      <c r="U189"/>
      <c r="V189"/>
    </row>
    <row r="190" spans="1:80" ht="30" customHeight="1" x14ac:dyDescent="0.55000000000000004">
      <c r="A190"/>
      <c r="K190"/>
      <c r="R190"/>
      <c r="S190" s="1"/>
      <c r="T190"/>
      <c r="U190"/>
      <c r="V190"/>
    </row>
    <row r="191" spans="1:80" ht="30" customHeight="1" x14ac:dyDescent="0.55000000000000004">
      <c r="A191"/>
      <c r="K191"/>
      <c r="R191"/>
      <c r="S191" s="1"/>
      <c r="T191"/>
      <c r="U191"/>
      <c r="V191"/>
    </row>
    <row r="192" spans="1:80" ht="30" customHeight="1" x14ac:dyDescent="0.55000000000000004">
      <c r="A192"/>
      <c r="K192"/>
      <c r="R192"/>
      <c r="S192" s="1"/>
      <c r="T192"/>
      <c r="U192"/>
      <c r="V192"/>
    </row>
    <row r="193" spans="1:22" ht="30" customHeight="1" x14ac:dyDescent="0.55000000000000004">
      <c r="A193"/>
      <c r="K193"/>
      <c r="R193"/>
      <c r="S193" s="1"/>
      <c r="T193"/>
      <c r="U193"/>
      <c r="V193"/>
    </row>
    <row r="194" spans="1:22" ht="30" customHeight="1" x14ac:dyDescent="0.55000000000000004">
      <c r="A194"/>
      <c r="K194"/>
      <c r="R194"/>
      <c r="S194" s="1"/>
      <c r="T194"/>
      <c r="U194"/>
      <c r="V194"/>
    </row>
    <row r="195" spans="1:22" ht="30" customHeight="1" x14ac:dyDescent="0.55000000000000004">
      <c r="A195"/>
      <c r="K195"/>
      <c r="R195"/>
      <c r="S195" s="1"/>
      <c r="T195"/>
      <c r="U195"/>
      <c r="V195"/>
    </row>
    <row r="196" spans="1:22" ht="30" customHeight="1" x14ac:dyDescent="0.55000000000000004">
      <c r="A196"/>
      <c r="K196"/>
      <c r="R196"/>
      <c r="S196" s="1"/>
      <c r="T196"/>
      <c r="U196"/>
      <c r="V196"/>
    </row>
    <row r="197" spans="1:22" ht="30" customHeight="1" x14ac:dyDescent="0.55000000000000004">
      <c r="A197"/>
      <c r="K197"/>
      <c r="R197"/>
      <c r="S197" s="1"/>
      <c r="T197"/>
      <c r="U197"/>
      <c r="V197"/>
    </row>
    <row r="198" spans="1:22" ht="30" customHeight="1" x14ac:dyDescent="0.55000000000000004">
      <c r="A198"/>
      <c r="K198"/>
      <c r="R198"/>
      <c r="S198" s="1"/>
      <c r="T198"/>
      <c r="U198"/>
      <c r="V198"/>
    </row>
    <row r="199" spans="1:22" ht="30" customHeight="1" x14ac:dyDescent="0.55000000000000004">
      <c r="A199"/>
      <c r="K199"/>
      <c r="R199"/>
      <c r="S199" s="1"/>
      <c r="T199"/>
      <c r="U199"/>
      <c r="V199"/>
    </row>
    <row r="200" spans="1:22" ht="30" customHeight="1" x14ac:dyDescent="0.55000000000000004">
      <c r="A200"/>
      <c r="K200"/>
      <c r="R200"/>
      <c r="S200" s="1"/>
      <c r="T200"/>
      <c r="U200"/>
      <c r="V200"/>
    </row>
    <row r="201" spans="1:22" ht="30" customHeight="1" x14ac:dyDescent="0.55000000000000004">
      <c r="A201"/>
      <c r="K201"/>
      <c r="R201"/>
      <c r="S201" s="1"/>
      <c r="T201"/>
      <c r="U201"/>
      <c r="V201"/>
    </row>
    <row r="202" spans="1:22" ht="30" customHeight="1" x14ac:dyDescent="0.55000000000000004">
      <c r="A202"/>
      <c r="K202"/>
      <c r="R202"/>
      <c r="S202" s="1"/>
      <c r="T202"/>
      <c r="U202"/>
      <c r="V202"/>
    </row>
    <row r="203" spans="1:22" ht="30" customHeight="1" x14ac:dyDescent="0.55000000000000004">
      <c r="A203"/>
      <c r="K203"/>
      <c r="R203"/>
      <c r="S203" s="1"/>
      <c r="T203"/>
      <c r="U203"/>
      <c r="V203"/>
    </row>
    <row r="204" spans="1:22" ht="30" customHeight="1" x14ac:dyDescent="0.55000000000000004">
      <c r="A204"/>
      <c r="K204"/>
      <c r="R204"/>
      <c r="S204" s="1"/>
      <c r="T204"/>
      <c r="U204"/>
      <c r="V204"/>
    </row>
    <row r="205" spans="1:22" ht="30" customHeight="1" x14ac:dyDescent="0.55000000000000004">
      <c r="A205"/>
      <c r="K205"/>
      <c r="R205"/>
      <c r="S205" s="1"/>
      <c r="T205"/>
      <c r="U205"/>
      <c r="V205"/>
    </row>
    <row r="206" spans="1:22" ht="30" customHeight="1" x14ac:dyDescent="0.55000000000000004">
      <c r="A206"/>
      <c r="K206"/>
      <c r="R206"/>
      <c r="S206" s="1"/>
      <c r="T206"/>
      <c r="U206"/>
      <c r="V206"/>
    </row>
    <row r="207" spans="1:22" ht="30" customHeight="1" x14ac:dyDescent="0.55000000000000004">
      <c r="A207"/>
      <c r="K207"/>
      <c r="R207"/>
      <c r="S207" s="1"/>
      <c r="T207"/>
      <c r="U207"/>
      <c r="V207"/>
    </row>
    <row r="208" spans="1:22" ht="30" customHeight="1" x14ac:dyDescent="0.55000000000000004">
      <c r="A208"/>
      <c r="K208"/>
      <c r="R208"/>
      <c r="S208" s="1"/>
      <c r="T208"/>
      <c r="U208"/>
      <c r="V208"/>
    </row>
    <row r="209" spans="1:22" ht="30" customHeight="1" x14ac:dyDescent="0.55000000000000004">
      <c r="A209"/>
      <c r="K209"/>
      <c r="R209"/>
      <c r="S209" s="1"/>
      <c r="T209"/>
      <c r="U209"/>
      <c r="V209"/>
    </row>
    <row r="210" spans="1:22" ht="30" customHeight="1" x14ac:dyDescent="0.55000000000000004">
      <c r="A210"/>
      <c r="K210"/>
      <c r="R210"/>
      <c r="S210" s="1"/>
      <c r="T210"/>
      <c r="U210"/>
      <c r="V210"/>
    </row>
    <row r="211" spans="1:22" ht="30" customHeight="1" x14ac:dyDescent="0.55000000000000004">
      <c r="A211"/>
      <c r="K211"/>
      <c r="R211"/>
      <c r="S211" s="1"/>
      <c r="T211"/>
      <c r="U211"/>
      <c r="V211"/>
    </row>
    <row r="212" spans="1:22" ht="30" customHeight="1" x14ac:dyDescent="0.55000000000000004">
      <c r="A212"/>
      <c r="K212"/>
      <c r="R212"/>
      <c r="S212" s="1"/>
      <c r="T212"/>
      <c r="U212"/>
      <c r="V212"/>
    </row>
    <row r="213" spans="1:22" ht="30" customHeight="1" x14ac:dyDescent="0.55000000000000004">
      <c r="A213"/>
      <c r="K213"/>
      <c r="R213"/>
      <c r="S213" s="1"/>
      <c r="T213"/>
      <c r="U213"/>
      <c r="V213"/>
    </row>
    <row r="214" spans="1:22" ht="30" customHeight="1" x14ac:dyDescent="0.55000000000000004">
      <c r="A214"/>
      <c r="K214"/>
      <c r="R214"/>
      <c r="S214" s="1"/>
      <c r="T214"/>
      <c r="U214"/>
      <c r="V214"/>
    </row>
    <row r="215" spans="1:22" ht="30" customHeight="1" x14ac:dyDescent="0.55000000000000004">
      <c r="A215"/>
      <c r="K215"/>
      <c r="R215"/>
      <c r="S215" s="1"/>
      <c r="T215"/>
      <c r="U215"/>
      <c r="V215"/>
    </row>
    <row r="216" spans="1:22" ht="30" customHeight="1" x14ac:dyDescent="0.55000000000000004">
      <c r="A216"/>
      <c r="K216"/>
      <c r="R216"/>
      <c r="S216" s="1"/>
      <c r="T216"/>
      <c r="U216"/>
      <c r="V216"/>
    </row>
    <row r="217" spans="1:22" ht="30" customHeight="1" x14ac:dyDescent="0.55000000000000004">
      <c r="A217"/>
      <c r="K217"/>
      <c r="R217"/>
      <c r="S217" s="1"/>
      <c r="T217"/>
      <c r="U217"/>
      <c r="V217"/>
    </row>
    <row r="218" spans="1:22" ht="30" customHeight="1" x14ac:dyDescent="0.55000000000000004">
      <c r="A218"/>
      <c r="K218"/>
      <c r="R218"/>
      <c r="S218" s="1"/>
      <c r="T218"/>
      <c r="U218"/>
      <c r="V218"/>
    </row>
    <row r="219" spans="1:22" ht="30" customHeight="1" x14ac:dyDescent="0.55000000000000004">
      <c r="A219"/>
      <c r="K219"/>
      <c r="R219"/>
      <c r="S219" s="1"/>
      <c r="T219"/>
      <c r="U219"/>
      <c r="V219"/>
    </row>
    <row r="220" spans="1:22" ht="30" customHeight="1" x14ac:dyDescent="0.55000000000000004">
      <c r="A220"/>
      <c r="K220"/>
      <c r="R220"/>
      <c r="S220" s="1"/>
      <c r="T220"/>
      <c r="U220"/>
      <c r="V220"/>
    </row>
    <row r="221" spans="1:22" ht="30" customHeight="1" x14ac:dyDescent="0.55000000000000004">
      <c r="A221"/>
      <c r="K221"/>
      <c r="R221"/>
      <c r="S221" s="1"/>
      <c r="T221"/>
      <c r="U221"/>
      <c r="V221"/>
    </row>
    <row r="222" spans="1:22" ht="30" customHeight="1" x14ac:dyDescent="0.55000000000000004">
      <c r="A222"/>
      <c r="K222"/>
      <c r="R222"/>
      <c r="S222" s="1"/>
      <c r="T222"/>
      <c r="U222"/>
      <c r="V222"/>
    </row>
    <row r="223" spans="1:22" ht="30" customHeight="1" x14ac:dyDescent="0.55000000000000004">
      <c r="A223"/>
      <c r="K223"/>
      <c r="R223"/>
      <c r="S223" s="1"/>
      <c r="T223"/>
      <c r="U223"/>
      <c r="V223"/>
    </row>
    <row r="224" spans="1:22" ht="30" customHeight="1" x14ac:dyDescent="0.55000000000000004">
      <c r="A224"/>
      <c r="K224"/>
      <c r="R224"/>
      <c r="S224" s="1"/>
      <c r="T224"/>
      <c r="U224"/>
      <c r="V224"/>
    </row>
    <row r="225" spans="1:22" ht="30" customHeight="1" x14ac:dyDescent="0.55000000000000004">
      <c r="A225"/>
      <c r="K225"/>
      <c r="R225"/>
      <c r="S225" s="1"/>
      <c r="T225"/>
      <c r="U225"/>
      <c r="V225"/>
    </row>
    <row r="226" spans="1:22" ht="30" customHeight="1" x14ac:dyDescent="0.55000000000000004">
      <c r="A226"/>
      <c r="K226"/>
      <c r="R226"/>
      <c r="S226" s="1"/>
      <c r="T226"/>
      <c r="U226"/>
      <c r="V226"/>
    </row>
    <row r="227" spans="1:22" ht="30" customHeight="1" x14ac:dyDescent="0.55000000000000004">
      <c r="A227"/>
      <c r="K227"/>
      <c r="R227"/>
      <c r="S227" s="1"/>
      <c r="T227"/>
      <c r="U227"/>
      <c r="V227"/>
    </row>
    <row r="228" spans="1:22" ht="30" customHeight="1" x14ac:dyDescent="0.55000000000000004">
      <c r="A228"/>
      <c r="K228"/>
      <c r="R228"/>
      <c r="S228" s="1"/>
      <c r="T228"/>
      <c r="U228"/>
      <c r="V228"/>
    </row>
    <row r="229" spans="1:22" ht="30" customHeight="1" x14ac:dyDescent="0.55000000000000004">
      <c r="A229"/>
      <c r="K229"/>
      <c r="R229"/>
      <c r="S229" s="1"/>
      <c r="T229"/>
      <c r="U229"/>
      <c r="V229"/>
    </row>
    <row r="230" spans="1:22" ht="30" customHeight="1" x14ac:dyDescent="0.55000000000000004">
      <c r="A230"/>
      <c r="K230"/>
      <c r="R230"/>
      <c r="S230" s="1"/>
      <c r="T230"/>
      <c r="U230"/>
      <c r="V230"/>
    </row>
    <row r="231" spans="1:22" ht="30" customHeight="1" x14ac:dyDescent="0.55000000000000004">
      <c r="A231"/>
      <c r="K231"/>
      <c r="R231"/>
      <c r="S231" s="1"/>
      <c r="T231"/>
      <c r="U231"/>
      <c r="V231"/>
    </row>
    <row r="232" spans="1:22" ht="30" customHeight="1" x14ac:dyDescent="0.55000000000000004">
      <c r="A232"/>
      <c r="K232"/>
      <c r="R232"/>
      <c r="S232" s="1"/>
      <c r="T232"/>
      <c r="U232"/>
      <c r="V232"/>
    </row>
    <row r="233" spans="1:22" ht="30" customHeight="1" x14ac:dyDescent="0.55000000000000004">
      <c r="A233"/>
      <c r="K233"/>
      <c r="R233"/>
      <c r="S233" s="1"/>
      <c r="T233"/>
      <c r="U233"/>
      <c r="V233"/>
    </row>
    <row r="234" spans="1:22" ht="30" customHeight="1" x14ac:dyDescent="0.55000000000000004">
      <c r="A234"/>
      <c r="K234"/>
      <c r="R234"/>
      <c r="S234" s="1"/>
      <c r="T234"/>
      <c r="U234"/>
      <c r="V234"/>
    </row>
    <row r="235" spans="1:22" ht="30" customHeight="1" x14ac:dyDescent="0.55000000000000004">
      <c r="A235"/>
      <c r="K235"/>
      <c r="R235"/>
      <c r="S235" s="1"/>
      <c r="T235"/>
      <c r="U235"/>
      <c r="V235"/>
    </row>
    <row r="236" spans="1:22" ht="30" customHeight="1" x14ac:dyDescent="0.55000000000000004">
      <c r="A236"/>
      <c r="K236"/>
      <c r="R236"/>
      <c r="S236" s="1"/>
      <c r="T236"/>
      <c r="U236"/>
      <c r="V236"/>
    </row>
    <row r="237" spans="1:22" ht="30" customHeight="1" x14ac:dyDescent="0.55000000000000004">
      <c r="A237"/>
      <c r="K237"/>
      <c r="R237"/>
      <c r="S237" s="1"/>
      <c r="T237"/>
      <c r="U237"/>
      <c r="V237"/>
    </row>
    <row r="238" spans="1:22" ht="30" customHeight="1" x14ac:dyDescent="0.55000000000000004">
      <c r="A238"/>
      <c r="K238"/>
      <c r="R238"/>
      <c r="S238" s="1"/>
      <c r="T238"/>
      <c r="U238"/>
      <c r="V238"/>
    </row>
    <row r="239" spans="1:22" ht="30" customHeight="1" x14ac:dyDescent="0.55000000000000004">
      <c r="A239"/>
      <c r="K239"/>
      <c r="R239"/>
      <c r="S239" s="1"/>
      <c r="T239"/>
      <c r="U239"/>
      <c r="V239"/>
    </row>
    <row r="240" spans="1:22" ht="30" customHeight="1" x14ac:dyDescent="0.55000000000000004">
      <c r="A240"/>
      <c r="K240"/>
      <c r="R240"/>
      <c r="S240" s="1"/>
      <c r="T240"/>
      <c r="U240"/>
      <c r="V240"/>
    </row>
    <row r="241" spans="1:22" ht="30" customHeight="1" x14ac:dyDescent="0.55000000000000004">
      <c r="A241"/>
      <c r="K241"/>
      <c r="R241"/>
      <c r="S241" s="1"/>
      <c r="T241"/>
      <c r="U241"/>
      <c r="V241"/>
    </row>
    <row r="242" spans="1:22" ht="30" customHeight="1" x14ac:dyDescent="0.55000000000000004">
      <c r="A242"/>
      <c r="K242"/>
      <c r="R242"/>
      <c r="S242" s="1"/>
      <c r="T242"/>
      <c r="U242"/>
      <c r="V242"/>
    </row>
    <row r="243" spans="1:22" ht="30" customHeight="1" x14ac:dyDescent="0.55000000000000004">
      <c r="A243"/>
      <c r="K243"/>
      <c r="R243"/>
      <c r="S243" s="1"/>
      <c r="T243"/>
      <c r="U243"/>
      <c r="V243"/>
    </row>
    <row r="244" spans="1:22" ht="30" customHeight="1" x14ac:dyDescent="0.55000000000000004">
      <c r="A244"/>
      <c r="K244"/>
      <c r="R244"/>
      <c r="S244" s="1"/>
      <c r="T244"/>
      <c r="U244"/>
      <c r="V244"/>
    </row>
    <row r="245" spans="1:22" ht="30" customHeight="1" x14ac:dyDescent="0.55000000000000004">
      <c r="A245"/>
      <c r="K245"/>
      <c r="R245"/>
      <c r="S245" s="1"/>
      <c r="T245"/>
      <c r="U245"/>
      <c r="V245"/>
    </row>
    <row r="246" spans="1:22" ht="30" customHeight="1" x14ac:dyDescent="0.55000000000000004">
      <c r="A246"/>
      <c r="K246"/>
      <c r="R246"/>
      <c r="S246" s="1"/>
      <c r="T246"/>
      <c r="U246"/>
      <c r="V246"/>
    </row>
    <row r="247" spans="1:22" ht="30" customHeight="1" x14ac:dyDescent="0.55000000000000004">
      <c r="A247"/>
      <c r="K247"/>
      <c r="R247"/>
      <c r="S247" s="1"/>
      <c r="T247"/>
      <c r="U247"/>
      <c r="V247"/>
    </row>
    <row r="248" spans="1:22" ht="30" customHeight="1" x14ac:dyDescent="0.55000000000000004">
      <c r="A248"/>
      <c r="K248"/>
      <c r="R248"/>
      <c r="S248" s="1"/>
      <c r="T248"/>
      <c r="U248"/>
      <c r="V248"/>
    </row>
    <row r="249" spans="1:22" ht="30" customHeight="1" x14ac:dyDescent="0.55000000000000004">
      <c r="A249"/>
      <c r="K249"/>
      <c r="R249"/>
      <c r="S249" s="1"/>
      <c r="T249"/>
      <c r="U249"/>
      <c r="V249"/>
    </row>
    <row r="250" spans="1:22" ht="30" customHeight="1" x14ac:dyDescent="0.55000000000000004">
      <c r="A250"/>
      <c r="K250"/>
      <c r="R250"/>
      <c r="S250" s="1"/>
      <c r="T250"/>
      <c r="U250"/>
      <c r="V250"/>
    </row>
    <row r="251" spans="1:22" ht="30" customHeight="1" x14ac:dyDescent="0.55000000000000004">
      <c r="A251"/>
      <c r="K251"/>
      <c r="R251"/>
      <c r="S251" s="1"/>
      <c r="T251"/>
      <c r="U251"/>
      <c r="V251"/>
    </row>
    <row r="252" spans="1:22" ht="30" customHeight="1" x14ac:dyDescent="0.55000000000000004">
      <c r="A252"/>
      <c r="K252"/>
      <c r="R252"/>
      <c r="S252" s="1"/>
      <c r="T252"/>
      <c r="U252"/>
      <c r="V252"/>
    </row>
    <row r="253" spans="1:22" ht="30" customHeight="1" x14ac:dyDescent="0.55000000000000004">
      <c r="A253"/>
      <c r="K253"/>
      <c r="R253"/>
      <c r="S253" s="1"/>
      <c r="T253"/>
      <c r="U253"/>
      <c r="V253"/>
    </row>
    <row r="254" spans="1:22" ht="30" customHeight="1" x14ac:dyDescent="0.55000000000000004">
      <c r="A254"/>
      <c r="K254"/>
      <c r="R254"/>
      <c r="S254" s="1"/>
      <c r="T254"/>
      <c r="U254"/>
      <c r="V254"/>
    </row>
    <row r="255" spans="1:22" ht="30" customHeight="1" x14ac:dyDescent="0.55000000000000004">
      <c r="A255"/>
      <c r="K255"/>
      <c r="R255"/>
      <c r="S255" s="1"/>
      <c r="T255"/>
      <c r="U255"/>
      <c r="V255"/>
    </row>
    <row r="256" spans="1:22" ht="30" customHeight="1" x14ac:dyDescent="0.55000000000000004">
      <c r="A256"/>
      <c r="K256"/>
      <c r="R256"/>
      <c r="S256" s="1"/>
      <c r="T256"/>
      <c r="U256"/>
      <c r="V256"/>
    </row>
    <row r="257" spans="1:22" ht="30" customHeight="1" x14ac:dyDescent="0.55000000000000004">
      <c r="A257"/>
      <c r="K257"/>
      <c r="R257"/>
      <c r="S257" s="1"/>
      <c r="T257"/>
      <c r="U257"/>
      <c r="V257"/>
    </row>
    <row r="258" spans="1:22" ht="30" customHeight="1" x14ac:dyDescent="0.55000000000000004">
      <c r="A258"/>
      <c r="K258"/>
      <c r="R258"/>
      <c r="S258" s="1"/>
      <c r="T258"/>
      <c r="U258"/>
      <c r="V258"/>
    </row>
    <row r="259" spans="1:22" ht="30" customHeight="1" x14ac:dyDescent="0.55000000000000004">
      <c r="A259"/>
      <c r="K259"/>
      <c r="R259"/>
      <c r="S259" s="1"/>
      <c r="T259"/>
      <c r="U259"/>
      <c r="V259"/>
    </row>
    <row r="260" spans="1:22" ht="30" customHeight="1" x14ac:dyDescent="0.55000000000000004">
      <c r="A260"/>
      <c r="K260"/>
      <c r="R260"/>
      <c r="S260" s="1"/>
      <c r="T260"/>
      <c r="U260"/>
      <c r="V260"/>
    </row>
    <row r="261" spans="1:22" ht="30" customHeight="1" x14ac:dyDescent="0.55000000000000004">
      <c r="A261"/>
      <c r="K261"/>
      <c r="R261"/>
      <c r="S261" s="1"/>
      <c r="T261"/>
      <c r="U261"/>
      <c r="V261"/>
    </row>
    <row r="262" spans="1:22" ht="30" customHeight="1" x14ac:dyDescent="0.55000000000000004">
      <c r="A262"/>
      <c r="K262"/>
      <c r="R262"/>
      <c r="S262" s="1"/>
      <c r="T262"/>
      <c r="U262"/>
      <c r="V262"/>
    </row>
    <row r="263" spans="1:22" ht="30" customHeight="1" x14ac:dyDescent="0.55000000000000004">
      <c r="A263"/>
      <c r="K263"/>
      <c r="R263"/>
      <c r="S263" s="1"/>
      <c r="T263"/>
      <c r="U263"/>
      <c r="V263"/>
    </row>
    <row r="264" spans="1:22" ht="30" customHeight="1" x14ac:dyDescent="0.55000000000000004">
      <c r="A264"/>
      <c r="K264"/>
      <c r="R264"/>
      <c r="S264" s="1"/>
      <c r="T264"/>
      <c r="U264"/>
      <c r="V264"/>
    </row>
  </sheetData>
  <sheetProtection algorithmName="SHA-512" hashValue="BRl4DAlEaNofLiYhdt2X8ymHINgcUgKckzwhUSTOpmSiI2MMOpdrrTOV93nBBEJp1wgH0qziwPS2FbX3ZReYRQ==" saltValue="nfE3O537XPi8wbMvl0pnJQ==" spinCount="100000" sheet="1" autoFilter="0"/>
  <autoFilter ref="AF4:CD180" xr:uid="{B6CEC6B8-6E20-470F-805D-D7614A36CB7B}">
    <sortState xmlns:xlrd2="http://schemas.microsoft.com/office/spreadsheetml/2017/richdata2" ref="AF23:CD138">
      <sortCondition descending="1" ref="AJ4:AJ180"/>
    </sortState>
  </autoFilter>
  <mergeCells count="23">
    <mergeCell ref="BS3:BU3"/>
    <mergeCell ref="BZ3:CB3"/>
    <mergeCell ref="BO1:BO4"/>
    <mergeCell ref="BG2:BG4"/>
    <mergeCell ref="BM2:BM4"/>
    <mergeCell ref="BL2:BL4"/>
    <mergeCell ref="BJ2:BJ4"/>
    <mergeCell ref="BI2:BI4"/>
    <mergeCell ref="BK2:BK4"/>
    <mergeCell ref="AF1:AZ1"/>
    <mergeCell ref="BC1:BG1"/>
    <mergeCell ref="BI1:BM1"/>
    <mergeCell ref="AT2:AV2"/>
    <mergeCell ref="AX2:AX4"/>
    <mergeCell ref="AY2:AY4"/>
    <mergeCell ref="AZ2:AZ4"/>
    <mergeCell ref="BC2:BD4"/>
    <mergeCell ref="BE2:BE4"/>
    <mergeCell ref="AT3:AT4"/>
    <mergeCell ref="AU3:AU4"/>
    <mergeCell ref="AS2:AS4"/>
    <mergeCell ref="AW2:AW4"/>
    <mergeCell ref="AF2:AR2"/>
  </mergeCells>
  <conditionalFormatting sqref="E180:E1048576 E106:E138 E103 E100 E69 E10:F11 E4:E5 E7:E9 E6:F6 E12:E26 E30:E31 E28 E33:E37 E39 E42:E43 E53 E51 E65:E66">
    <cfRule type="duplicateValues" dxfId="8" priority="2"/>
  </conditionalFormatting>
  <conditionalFormatting sqref="F176:F177 F163 F159 F139 F141 F143:F145 F150">
    <cfRule type="duplicateValues" dxfId="7" priority="1"/>
  </conditionalFormatting>
  <conditionalFormatting sqref="F180:F1048576 F106:F138 F103 F100 F69 F4:F5 F7:F9 F12:F24 F65:F66 F30:F31 F28 F26 F33:F37 F39 F42:F43 F53 F51">
    <cfRule type="duplicateValues" dxfId="6" priority="3"/>
  </conditionalFormatting>
  <conditionalFormatting sqref="G4">
    <cfRule type="duplicateValues" dxfId="5" priority="4"/>
  </conditionalFormatting>
  <conditionalFormatting sqref="H4">
    <cfRule type="duplicateValues" dxfId="4" priority="5"/>
  </conditionalFormatting>
  <hyperlinks>
    <hyperlink ref="C114" r:id="rId1" xr:uid="{99B0E777-9FF2-4CAF-AEC1-C0C3557F5615}"/>
    <hyperlink ref="C116" r:id="rId2" xr:uid="{5256D35E-6AE9-4F32-8534-C92F36CC16F6}"/>
    <hyperlink ref="F167" r:id="rId3" display="https://commonchemistry.cas.org/detail?cas_rn=77-90-7" xr:uid="{CA1E9437-4A31-4675-A3B2-37A85F6B1171}"/>
    <hyperlink ref="F168" r:id="rId4" display="https://tools.wmflabs.org/magnustools/cas.php?cas=91-20-3&amp;language=fr&amp;title=Naphtal%C3%A8ne" xr:uid="{CCE208FE-90F4-4060-9634-91BFBF05181D}"/>
  </hyperlinks>
  <pageMargins left="0.25" right="0.25" top="0.75" bottom="0.75" header="0.3" footer="0.3"/>
  <pageSetup paperSize="8" scale="26" fitToHeight="0" orientation="landscape" r:id="rId5"/>
  <tableParts count="1">
    <tablePart r:id="rId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22165-8A40-4875-9940-174BAC6F0560}">
  <sheetPr>
    <pageSetUpPr fitToPage="1"/>
  </sheetPr>
  <dimension ref="A1:BS129"/>
  <sheetViews>
    <sheetView topLeftCell="A35" zoomScale="60" zoomScaleNormal="50" workbookViewId="0">
      <pane xSplit="6" topLeftCell="BS1" activePane="topRight" state="frozen"/>
      <selection pane="topRight" activeCell="F40" sqref="F40"/>
    </sheetView>
  </sheetViews>
  <sheetFormatPr defaultColWidth="9.1796875" defaultRowHeight="30" customHeight="1" x14ac:dyDescent="0.55000000000000004"/>
  <cols>
    <col min="1" max="1" width="5.54296875" style="2" customWidth="1"/>
    <col min="2" max="2" width="21.26953125" customWidth="1"/>
    <col min="3" max="3" width="41.453125" style="4" customWidth="1"/>
    <col min="4" max="4" width="19.7265625" style="1" customWidth="1"/>
    <col min="5" max="5" width="16.453125" style="1" customWidth="1"/>
    <col min="6" max="6" width="16.1796875" customWidth="1"/>
    <col min="7" max="7" width="19.453125" hidden="1" customWidth="1"/>
    <col min="8" max="8" width="62.453125" hidden="1" customWidth="1"/>
    <col min="9" max="9" width="19" hidden="1" customWidth="1"/>
    <col min="10" max="10" width="20.453125" style="8" hidden="1" customWidth="1"/>
    <col min="11" max="11" width="37.81640625" style="3" hidden="1" customWidth="1"/>
    <col min="12" max="17" width="16.81640625" hidden="1" customWidth="1"/>
    <col min="18" max="18" width="16.81640625" style="5" hidden="1" customWidth="1"/>
    <col min="19" max="19" width="16.81640625" style="7" hidden="1" customWidth="1"/>
    <col min="20" max="20" width="16.81640625" style="5" hidden="1" customWidth="1"/>
    <col min="21" max="21" width="47.81640625" style="5" hidden="1" customWidth="1"/>
    <col min="22" max="22" width="16.81640625" style="6" hidden="1" customWidth="1"/>
    <col min="23" max="23" width="18.81640625" hidden="1" customWidth="1"/>
    <col min="24" max="24" width="23.54296875" hidden="1" customWidth="1"/>
    <col min="25" max="25" width="30.1796875" style="1" hidden="1" customWidth="1"/>
    <col min="26" max="26" width="25.453125" hidden="1" customWidth="1"/>
    <col min="27" max="27" width="18.81640625" hidden="1" customWidth="1"/>
    <col min="28" max="28" width="22.453125" style="1" hidden="1" customWidth="1"/>
    <col min="29" max="29" width="26.453125" hidden="1" customWidth="1"/>
    <col min="30" max="30" width="27" style="1" hidden="1" customWidth="1"/>
    <col min="31" max="31" width="28.81640625" style="1" hidden="1" customWidth="1"/>
    <col min="32" max="33" width="9.1796875" hidden="1" customWidth="1"/>
    <col min="34" max="34" width="7.81640625" hidden="1" customWidth="1"/>
    <col min="35" max="44" width="7.54296875" hidden="1" customWidth="1"/>
    <col min="45" max="45" width="21.453125" hidden="1" customWidth="1"/>
    <col min="46" max="46" width="13.1796875" hidden="1" customWidth="1"/>
    <col min="47" max="47" width="20.453125" hidden="1" customWidth="1"/>
    <col min="48" max="48" width="32.1796875" hidden="1" customWidth="1"/>
    <col min="49" max="49" width="23.26953125" hidden="1" customWidth="1"/>
    <col min="50" max="50" width="9.1796875" hidden="1" customWidth="1"/>
    <col min="51" max="52" width="21.54296875" hidden="1" customWidth="1"/>
    <col min="53" max="53" width="31.1796875" hidden="1" customWidth="1"/>
    <col min="54" max="54" width="25.54296875" hidden="1" customWidth="1"/>
    <col min="55" max="55" width="23.26953125" hidden="1" customWidth="1"/>
    <col min="56" max="56" width="9.1796875" hidden="1" customWidth="1"/>
    <col min="57" max="57" width="34.1796875" style="1" hidden="1" customWidth="1"/>
    <col min="58" max="58" width="28.26953125" style="86" hidden="1" customWidth="1"/>
    <col min="59" max="59" width="35.81640625" style="86" hidden="1" customWidth="1"/>
    <col min="60" max="60" width="25.7265625" hidden="1" customWidth="1"/>
    <col min="61" max="61" width="23.453125" hidden="1" customWidth="1"/>
    <col min="62" max="62" width="9.1796875" hidden="1" customWidth="1"/>
    <col min="63" max="63" width="41.81640625" hidden="1" customWidth="1"/>
    <col min="64" max="64" width="9.1796875" hidden="1" customWidth="1"/>
    <col min="65" max="65" width="26.54296875" hidden="1" customWidth="1"/>
    <col min="66" max="66" width="9.1796875" hidden="1" customWidth="1"/>
    <col min="67" max="67" width="27.453125" hidden="1" customWidth="1"/>
    <col min="68" max="68" width="27.1796875" hidden="1" customWidth="1"/>
    <col min="69" max="70" width="23.1796875" hidden="1" customWidth="1"/>
    <col min="71" max="71" width="23.1796875" customWidth="1"/>
    <col min="72" max="72" width="24.7265625" customWidth="1"/>
    <col min="73" max="78" width="9.1796875" customWidth="1"/>
  </cols>
  <sheetData>
    <row r="1" spans="1:71" s="18" customFormat="1" ht="56.5" customHeight="1" thickBot="1" x14ac:dyDescent="0.6">
      <c r="A1" s="235" t="s">
        <v>25</v>
      </c>
      <c r="B1" s="236" t="s">
        <v>26</v>
      </c>
      <c r="C1" s="237" t="s">
        <v>27</v>
      </c>
      <c r="D1" s="236" t="s">
        <v>28</v>
      </c>
      <c r="E1" s="236" t="s">
        <v>29</v>
      </c>
      <c r="F1" s="238" t="s">
        <v>30</v>
      </c>
      <c r="G1" s="12" t="s">
        <v>31</v>
      </c>
      <c r="H1" s="12" t="s">
        <v>32</v>
      </c>
      <c r="I1" s="12" t="s">
        <v>33</v>
      </c>
      <c r="J1" s="12" t="s">
        <v>34</v>
      </c>
      <c r="K1" s="12" t="s">
        <v>35</v>
      </c>
      <c r="L1" s="12" t="s">
        <v>36</v>
      </c>
      <c r="M1" s="12" t="s">
        <v>37</v>
      </c>
      <c r="N1" s="12" t="s">
        <v>38</v>
      </c>
      <c r="O1" s="12" t="s">
        <v>39</v>
      </c>
      <c r="P1" s="12" t="s">
        <v>40</v>
      </c>
      <c r="Q1" s="12" t="s">
        <v>41</v>
      </c>
      <c r="R1" s="12" t="s">
        <v>42</v>
      </c>
      <c r="S1" s="11" t="s">
        <v>43</v>
      </c>
      <c r="T1" s="12" t="s">
        <v>44</v>
      </c>
      <c r="U1" s="12" t="s">
        <v>45</v>
      </c>
      <c r="V1" s="12" t="s">
        <v>46</v>
      </c>
      <c r="W1" s="12" t="s">
        <v>47</v>
      </c>
      <c r="X1" s="12" t="s">
        <v>48</v>
      </c>
      <c r="Y1" s="12" t="s">
        <v>49</v>
      </c>
      <c r="Z1" s="12" t="s">
        <v>50</v>
      </c>
      <c r="AA1" s="12" t="s">
        <v>51</v>
      </c>
      <c r="AB1" s="12" t="s">
        <v>52</v>
      </c>
      <c r="AC1" s="12" t="s">
        <v>53</v>
      </c>
      <c r="AD1" s="12" t="s">
        <v>54</v>
      </c>
      <c r="AF1" s="157" t="s">
        <v>42</v>
      </c>
      <c r="AG1" s="158" t="s">
        <v>44</v>
      </c>
      <c r="AH1" s="158" t="s">
        <v>55</v>
      </c>
      <c r="AI1" s="158" t="s">
        <v>56</v>
      </c>
      <c r="AJ1" s="158" t="s">
        <v>57</v>
      </c>
      <c r="AK1" s="158" t="s">
        <v>58</v>
      </c>
      <c r="AL1" s="158" t="s">
        <v>59</v>
      </c>
      <c r="AM1" s="158" t="s">
        <v>60</v>
      </c>
      <c r="AN1" s="158" t="s">
        <v>61</v>
      </c>
      <c r="AO1" s="158" t="s">
        <v>62</v>
      </c>
      <c r="AP1" s="158" t="s">
        <v>63</v>
      </c>
      <c r="AQ1" s="158" t="s">
        <v>64</v>
      </c>
      <c r="AR1" s="158" t="s">
        <v>65</v>
      </c>
      <c r="AS1" s="159"/>
      <c r="AT1" s="160"/>
      <c r="AU1" s="85" t="s">
        <v>2099</v>
      </c>
      <c r="AV1" s="80" t="s">
        <v>2100</v>
      </c>
      <c r="AW1" s="161"/>
      <c r="AY1" s="162"/>
      <c r="AZ1" s="163"/>
      <c r="BA1" s="164"/>
      <c r="BB1" s="165"/>
      <c r="BC1" s="166"/>
      <c r="BE1" s="55" t="s">
        <v>2101</v>
      </c>
      <c r="BF1" s="167" t="s">
        <v>2102</v>
      </c>
      <c r="BG1" s="55" t="s">
        <v>2103</v>
      </c>
      <c r="BH1" s="168" t="s">
        <v>2104</v>
      </c>
      <c r="BI1" s="166"/>
      <c r="BK1" s="169"/>
      <c r="BM1" s="17" t="s">
        <v>66</v>
      </c>
      <c r="BO1" s="170" t="s">
        <v>2105</v>
      </c>
      <c r="BP1" s="170" t="s">
        <v>2106</v>
      </c>
      <c r="BQ1" s="180" t="s">
        <v>73</v>
      </c>
      <c r="BR1" s="182"/>
      <c r="BS1" s="240" t="s">
        <v>2107</v>
      </c>
    </row>
    <row r="2" spans="1:71" s="27" customFormat="1" ht="30" customHeight="1" thickBot="1" x14ac:dyDescent="0.6">
      <c r="A2" s="241">
        <v>1</v>
      </c>
      <c r="B2" s="242" t="s">
        <v>2108</v>
      </c>
      <c r="C2" s="243" t="s">
        <v>2109</v>
      </c>
      <c r="D2" s="243" t="s">
        <v>2110</v>
      </c>
      <c r="E2" s="243" t="s">
        <v>2111</v>
      </c>
      <c r="F2" s="244" t="s">
        <v>2112</v>
      </c>
      <c r="G2" s="46" t="s">
        <v>2113</v>
      </c>
      <c r="H2" s="46" t="s">
        <v>2114</v>
      </c>
      <c r="I2" s="46" t="s">
        <v>2115</v>
      </c>
      <c r="J2" s="46" t="s">
        <v>2116</v>
      </c>
      <c r="K2" s="47" t="s">
        <v>88</v>
      </c>
      <c r="L2" s="47"/>
      <c r="M2" s="47" t="s">
        <v>85</v>
      </c>
      <c r="N2" s="47"/>
      <c r="O2" s="47"/>
      <c r="P2" s="47"/>
      <c r="Q2" s="47"/>
      <c r="R2" s="47"/>
      <c r="S2" s="47" t="s">
        <v>88</v>
      </c>
      <c r="T2" s="47"/>
      <c r="U2" s="47" t="s">
        <v>2117</v>
      </c>
      <c r="V2" s="47" t="s">
        <v>173</v>
      </c>
      <c r="W2" s="171" t="s">
        <v>2118</v>
      </c>
      <c r="X2" s="171" t="s">
        <v>2119</v>
      </c>
      <c r="Y2" s="47" t="s">
        <v>2120</v>
      </c>
      <c r="Z2" s="47" t="s">
        <v>2121</v>
      </c>
      <c r="AA2" s="45"/>
      <c r="AB2" s="172">
        <v>5.633</v>
      </c>
      <c r="AC2" s="171" t="s">
        <v>2122</v>
      </c>
      <c r="AD2" s="47" t="s">
        <v>2123</v>
      </c>
      <c r="AE2" s="48"/>
      <c r="AF2" s="33" t="str" cm="1">
        <f t="array" ref="AF2">_xlfn.IFS(COUNTIF(Table14623578[[#This Row],[PBT/ vPvB]],"*X*"), 20, TRUE, "")</f>
        <v/>
      </c>
      <c r="AG2" s="34" t="str" cm="1">
        <f t="array" ref="AG2">_xlfn.IFS(COUNTIF(Table14623578[[#This Row],[Perturbateur Endocrinien]],"*X*"), 20, TRUE, "")</f>
        <v/>
      </c>
      <c r="AH2" s="34" t="str" cm="1">
        <f t="array" ref="AH2">_xlfn.IFS(COUNTIF(Table14623578[[#This Row],[Phrases H]],"*H350*"), 20, TRUE, "")</f>
        <v/>
      </c>
      <c r="AI2" s="34" t="str" cm="1">
        <f t="array" ref="AI2">_xlfn.IFS(COUNTIF(Table14623578[[#This Row],[Phrases H]],"*H360*"), 20, TRUE, "")</f>
        <v/>
      </c>
      <c r="AJ2" s="34" t="str" cm="1">
        <f t="array" ref="AJ2">_xlfn.IFS(COUNTIF(Table14623578[[#This Row],[Phrases H]],"*H340*"), 20, TRUE, "")</f>
        <v/>
      </c>
      <c r="AK2" s="34" t="str" cm="1">
        <f t="array" ref="AK2">_xlfn.IFS(COUNTIF(Table14623578[[#This Row],[Phrases H]],"*H351*"), 10, TRUE, "")</f>
        <v/>
      </c>
      <c r="AL2" s="34" t="str" cm="1">
        <f t="array" ref="AL2">_xlfn.IFS(COUNTIF(Table14623578[[#This Row],[Phrases H]],"*H361*"), 10, TRUE, "")</f>
        <v/>
      </c>
      <c r="AM2" s="34" t="str" cm="1">
        <f t="array" ref="AM2">_xlfn.IFS(COUNTIF(Table14623578[[#This Row],[Phrases H]],"*H362*"), 10, TRUE, "")</f>
        <v/>
      </c>
      <c r="AN2" s="34" t="str" cm="1">
        <f t="array" ref="AN2">_xlfn.IFS(COUNTIF(Table14623578[[#This Row],[Phrases H]],"*H341*"), 10, TRUE, "")</f>
        <v/>
      </c>
      <c r="AO2" s="34" t="str" cm="1">
        <f t="array" ref="AO2">_xlfn.IFS(COUNTIF(Table14623578[[#This Row],[Phrases H]],"*H372*"), 10, TRUE, "")</f>
        <v/>
      </c>
      <c r="AP2" s="34" cm="1">
        <f t="array" ref="AP2">_xlfn.IFS(COUNTIF(Table14623578[[#This Row],[Phrases H]],"*H410*"), 10, TRUE, "")</f>
        <v>10</v>
      </c>
      <c r="AQ2" s="34" t="str" cm="1">
        <f t="array" ref="AQ2">_xlfn.IFS(COUNTIF(Table14623578[[#This Row],[Phrases H]],"*H373*"), 5, TRUE, "")</f>
        <v/>
      </c>
      <c r="AR2" s="34" t="str" cm="1">
        <f t="array" ref="AR2">_xlfn.IFS(COUNTIF(Table14623578[[#This Row],[Phrases H]],"*H411*"), 5, TRUE, "")</f>
        <v/>
      </c>
      <c r="AS2" s="56">
        <f t="shared" ref="AS2:AS36" si="0">SUM(AF2:AR2)</f>
        <v>10</v>
      </c>
      <c r="AT2" s="82">
        <v>5.633</v>
      </c>
      <c r="AU2" s="61" t="str">
        <f>IF(AT2="0","0",IF(AT2&lt;2,"20",IF(AT2&lt;3,"10","0")))</f>
        <v>0</v>
      </c>
      <c r="AV2" s="81">
        <f t="shared" ref="AV2:AV36" si="1">AS2+AU2</f>
        <v>10</v>
      </c>
      <c r="AW2" s="69" t="str">
        <f t="shared" ref="AW2:AW30" si="2">IF(AV2&lt;=17,"5",IF(AV2&lt;=34,"4",IF(AV2&lt;=51,"3",IF(AV2&lt;=68,"2","1"))))</f>
        <v>5</v>
      </c>
      <c r="AX2" s="29"/>
      <c r="AY2" s="77" t="s">
        <v>88</v>
      </c>
      <c r="AZ2" s="25" t="s">
        <v>97</v>
      </c>
      <c r="BA2" s="62">
        <f t="shared" ref="BA2:BA4" si="3">IF(AY2="N/A",0,IF(AY2&lt;=10,5,IF(AY2&lt;=100,10,IF(AY2&lt;=1000,15,IF(AY2&lt;=10000,20,25)))))</f>
        <v>0</v>
      </c>
      <c r="BB2" s="63" t="str">
        <f t="shared" ref="BB2:BB36" si="4">IF(BA2=25,"Production très élevée",IF(BA2=20,"Production élevée",IF(BA2=15,"Production modérée",IF(BA2=10,"Faible production",IF(BA2=5,"Très faible production","N/A")))))</f>
        <v>N/A</v>
      </c>
      <c r="BC2" s="68" t="str">
        <f t="shared" ref="BC2:BC36" si="5">IF(BA2&lt;=5,"E",IF(BA2&lt;=10,"D",IF(BA2&lt;=15,"C",IF(BA2&lt;=20,"B","A"))))</f>
        <v>E</v>
      </c>
      <c r="BD2" s="49"/>
      <c r="BE2" s="74" t="s">
        <v>889</v>
      </c>
      <c r="BF2" s="92">
        <v>1</v>
      </c>
      <c r="BG2" s="74" t="s">
        <v>889</v>
      </c>
      <c r="BH2" s="91">
        <v>1</v>
      </c>
      <c r="BI2" s="69" t="s">
        <v>131</v>
      </c>
      <c r="BK2" s="71" t="str">
        <f t="shared" ref="BK2:BK36" si="6">_xlfn.CONCAT("Catégorie ", AW2,BC2,BI2)</f>
        <v>Catégorie 5EOUI</v>
      </c>
      <c r="BM2" s="43" t="s">
        <v>150</v>
      </c>
      <c r="BO2" s="72" t="str">
        <f t="shared" ref="BO2:BO9" si="7">IF(OR(AW2="1", AW2="2"), "X", "")</f>
        <v/>
      </c>
      <c r="BP2" s="73" t="str">
        <f t="shared" ref="BP2:BP44" si="8">IF(OR(BI2="i", BI2="ii", BI2="iii", BI2="iv", BI2="v"), "X", "")</f>
        <v/>
      </c>
      <c r="BQ2" s="181" t="str">
        <f t="shared" ref="BQ2:BQ44" si="9">IF(OR(BO3="X", BP3="X"), "X", "")</f>
        <v/>
      </c>
      <c r="BR2" s="70"/>
      <c r="BS2" s="239" t="s">
        <v>85</v>
      </c>
    </row>
    <row r="3" spans="1:71" s="27" customFormat="1" ht="30" customHeight="1" thickBot="1" x14ac:dyDescent="0.6">
      <c r="A3" s="227">
        <v>2</v>
      </c>
      <c r="B3" s="224" t="s">
        <v>2108</v>
      </c>
      <c r="C3" s="223" t="s">
        <v>2124</v>
      </c>
      <c r="D3" s="223" t="s">
        <v>2125</v>
      </c>
      <c r="E3" s="223" t="s">
        <v>2126</v>
      </c>
      <c r="F3" s="228" t="s">
        <v>2127</v>
      </c>
      <c r="G3" s="20" t="s">
        <v>2128</v>
      </c>
      <c r="H3" s="20" t="s">
        <v>2129</v>
      </c>
      <c r="I3" s="20" t="s">
        <v>2115</v>
      </c>
      <c r="J3" s="20" t="s">
        <v>2116</v>
      </c>
      <c r="K3" s="21" t="s">
        <v>88</v>
      </c>
      <c r="L3" s="21"/>
      <c r="M3" s="21" t="s">
        <v>85</v>
      </c>
      <c r="N3" s="21"/>
      <c r="O3" s="21"/>
      <c r="P3" s="21"/>
      <c r="Q3" s="21"/>
      <c r="R3" s="21"/>
      <c r="S3" s="21" t="s">
        <v>88</v>
      </c>
      <c r="T3" s="21"/>
      <c r="U3" s="21" t="s">
        <v>2130</v>
      </c>
      <c r="V3" s="21" t="s">
        <v>122</v>
      </c>
      <c r="W3" s="21" t="s">
        <v>2131</v>
      </c>
      <c r="X3" s="23" t="s">
        <v>2132</v>
      </c>
      <c r="Y3" s="21" t="s">
        <v>2133</v>
      </c>
      <c r="Z3" s="21" t="s">
        <v>2134</v>
      </c>
      <c r="AA3" s="11"/>
      <c r="AB3" s="28">
        <v>5.91</v>
      </c>
      <c r="AC3" s="21" t="s">
        <v>2135</v>
      </c>
      <c r="AD3" s="21" t="s">
        <v>2136</v>
      </c>
      <c r="AE3" s="26"/>
      <c r="AF3" s="36" t="str" cm="1">
        <f t="array" ref="AF3">_xlfn.IFS(COUNTIF(Table14623578[[#This Row],[PBT/ vPvB]],"*X*"), 20, TRUE, "")</f>
        <v/>
      </c>
      <c r="AG3" s="37" t="str" cm="1">
        <f t="array" ref="AG3">_xlfn.IFS(COUNTIF(Table14623578[[#This Row],[Perturbateur Endocrinien]],"*X*"), 20, TRUE, "")</f>
        <v/>
      </c>
      <c r="AH3" s="37" t="str" cm="1">
        <f t="array" ref="AH3">_xlfn.IFS(COUNTIF(Table14623578[[#This Row],[Phrases H]],"*H350*"), 20, TRUE, "")</f>
        <v/>
      </c>
      <c r="AI3" s="37" t="str" cm="1">
        <f t="array" ref="AI3">_xlfn.IFS(COUNTIF(Table14623578[[#This Row],[Phrases H]],"*H360*"), 20, TRUE, "")</f>
        <v/>
      </c>
      <c r="AJ3" s="37" t="str" cm="1">
        <f t="array" ref="AJ3">_xlfn.IFS(COUNTIF(Table14623578[[#This Row],[Phrases H]],"*H340*"), 20, TRUE, "")</f>
        <v/>
      </c>
      <c r="AK3" s="37" t="str" cm="1">
        <f t="array" ref="AK3">_xlfn.IFS(COUNTIF(Table14623578[[#This Row],[Phrases H]],"*H351*"), 10, TRUE, "")</f>
        <v/>
      </c>
      <c r="AL3" s="37" t="str" cm="1">
        <f t="array" ref="AL3">_xlfn.IFS(COUNTIF(Table14623578[[#This Row],[Phrases H]],"*H361*"), 10, TRUE, "")</f>
        <v/>
      </c>
      <c r="AM3" s="37" t="str" cm="1">
        <f t="array" ref="AM3">_xlfn.IFS(COUNTIF(Table14623578[[#This Row],[Phrases H]],"*H362*"), 10, TRUE, "")</f>
        <v/>
      </c>
      <c r="AN3" s="37" t="str" cm="1">
        <f t="array" ref="AN3">_xlfn.IFS(COUNTIF(Table14623578[[#This Row],[Phrases H]],"*H341*"), 10, TRUE, "")</f>
        <v/>
      </c>
      <c r="AO3" s="37" t="str" cm="1">
        <f t="array" ref="AO3">_xlfn.IFS(COUNTIF(Table14623578[[#This Row],[Phrases H]],"*H372*"), 10, TRUE, "")</f>
        <v/>
      </c>
      <c r="AP3" s="37" t="str" cm="1">
        <f t="array" ref="AP3">_xlfn.IFS(COUNTIF(Table14623578[[#This Row],[Phrases H]],"*H410*"), 10, TRUE, "")</f>
        <v/>
      </c>
      <c r="AQ3" s="37" t="str" cm="1">
        <f t="array" ref="AQ3">_xlfn.IFS(COUNTIF(Table14623578[[#This Row],[Phrases H]],"*H373*"), 5, TRUE, "")</f>
        <v/>
      </c>
      <c r="AR3" s="37" t="str" cm="1">
        <f t="array" ref="AR3">_xlfn.IFS(COUNTIF(Table14623578[[#This Row],[Phrases H]],"*H411*"), 5, TRUE, "")</f>
        <v/>
      </c>
      <c r="AS3" s="57">
        <f t="shared" si="0"/>
        <v>0</v>
      </c>
      <c r="AT3" s="83">
        <v>5.91</v>
      </c>
      <c r="AU3" s="61" t="str">
        <f t="shared" ref="AU3:AU34" si="10">IF(AT3="0","0",IF(AT3&lt;2,"20",IF(AT3&lt;3,"10","0")))</f>
        <v>0</v>
      </c>
      <c r="AV3" s="81">
        <f t="shared" si="1"/>
        <v>0</v>
      </c>
      <c r="AW3" s="69" t="str">
        <f t="shared" si="2"/>
        <v>5</v>
      </c>
      <c r="AX3" s="29"/>
      <c r="AY3" s="78" t="s">
        <v>88</v>
      </c>
      <c r="AZ3" s="15" t="s">
        <v>97</v>
      </c>
      <c r="BA3" s="64">
        <f t="shared" si="3"/>
        <v>0</v>
      </c>
      <c r="BB3" s="65" t="str">
        <f t="shared" si="4"/>
        <v>N/A</v>
      </c>
      <c r="BC3" s="68" t="str">
        <f t="shared" si="5"/>
        <v>E</v>
      </c>
      <c r="BD3" s="35"/>
      <c r="BE3" s="74" t="s">
        <v>889</v>
      </c>
      <c r="BF3" s="92">
        <v>1</v>
      </c>
      <c r="BG3" s="74" t="s">
        <v>889</v>
      </c>
      <c r="BH3" s="91">
        <v>1</v>
      </c>
      <c r="BI3" s="69" t="s">
        <v>131</v>
      </c>
      <c r="BK3" s="71" t="str">
        <f t="shared" si="6"/>
        <v>Catégorie 5EOUI</v>
      </c>
      <c r="BM3" s="44" t="s">
        <v>150</v>
      </c>
      <c r="BO3" s="72" t="str">
        <f t="shared" si="7"/>
        <v/>
      </c>
      <c r="BP3" s="73" t="str">
        <f t="shared" si="8"/>
        <v/>
      </c>
      <c r="BQ3" s="181" t="str">
        <f t="shared" si="9"/>
        <v/>
      </c>
      <c r="BR3" s="70"/>
      <c r="BS3" s="221" t="s">
        <v>85</v>
      </c>
    </row>
    <row r="4" spans="1:71" s="27" customFormat="1" ht="30" customHeight="1" thickBot="1" x14ac:dyDescent="0.6">
      <c r="A4" s="227">
        <v>3</v>
      </c>
      <c r="B4" s="224" t="s">
        <v>2108</v>
      </c>
      <c r="C4" s="223" t="s">
        <v>2137</v>
      </c>
      <c r="D4" s="223" t="s">
        <v>2138</v>
      </c>
      <c r="E4" s="223" t="s">
        <v>2139</v>
      </c>
      <c r="F4" s="228" t="s">
        <v>2140</v>
      </c>
      <c r="G4" s="20" t="s">
        <v>2141</v>
      </c>
      <c r="H4" s="20" t="s">
        <v>2142</v>
      </c>
      <c r="I4" s="20" t="s">
        <v>2115</v>
      </c>
      <c r="J4" s="20" t="s">
        <v>2116</v>
      </c>
      <c r="K4" s="21" t="s">
        <v>88</v>
      </c>
      <c r="L4" s="21"/>
      <c r="M4" s="21" t="s">
        <v>85</v>
      </c>
      <c r="N4" s="21"/>
      <c r="O4" s="21"/>
      <c r="P4" s="21"/>
      <c r="Q4" s="21"/>
      <c r="R4" s="21"/>
      <c r="S4" s="21" t="s">
        <v>88</v>
      </c>
      <c r="T4" s="21"/>
      <c r="U4" s="21" t="s">
        <v>2143</v>
      </c>
      <c r="V4" s="21" t="s">
        <v>122</v>
      </c>
      <c r="W4" s="21" t="s">
        <v>2144</v>
      </c>
      <c r="X4" s="21" t="s">
        <v>2145</v>
      </c>
      <c r="Y4" s="21" t="s">
        <v>2146</v>
      </c>
      <c r="Z4" s="21" t="s">
        <v>2147</v>
      </c>
      <c r="AA4" s="11"/>
      <c r="AB4" s="28">
        <f>LOG(990000)</f>
        <v>5.9956351945975497</v>
      </c>
      <c r="AC4" s="21" t="s">
        <v>2148</v>
      </c>
      <c r="AD4" s="21" t="s">
        <v>2149</v>
      </c>
      <c r="AE4" s="26"/>
      <c r="AF4" s="36" t="str" cm="1">
        <f t="array" ref="AF4">_xlfn.IFS(COUNTIF(Table14623578[[#This Row],[PBT/ vPvB]],"*X*"), 20, TRUE, "")</f>
        <v/>
      </c>
      <c r="AG4" s="37" t="str" cm="1">
        <f t="array" ref="AG4">_xlfn.IFS(COUNTIF(Table14623578[[#This Row],[Perturbateur Endocrinien]],"*X*"), 20, TRUE, "")</f>
        <v/>
      </c>
      <c r="AH4" s="37" t="str" cm="1">
        <f t="array" ref="AH4">_xlfn.IFS(COUNTIF(Table14623578[[#This Row],[Phrases H]],"*H350*"), 20, TRUE, "")</f>
        <v/>
      </c>
      <c r="AI4" s="37" t="str" cm="1">
        <f t="array" ref="AI4">_xlfn.IFS(COUNTIF(Table14623578[[#This Row],[Phrases H]],"*H360*"), 20, TRUE, "")</f>
        <v/>
      </c>
      <c r="AJ4" s="37" t="str" cm="1">
        <f t="array" ref="AJ4">_xlfn.IFS(COUNTIF(Table14623578[[#This Row],[Phrases H]],"*H340*"), 20, TRUE, "")</f>
        <v/>
      </c>
      <c r="AK4" s="37" t="str" cm="1">
        <f t="array" ref="AK4">_xlfn.IFS(COUNTIF(Table14623578[[#This Row],[Phrases H]],"*H351*"), 10, TRUE, "")</f>
        <v/>
      </c>
      <c r="AL4" s="37" t="str" cm="1">
        <f t="array" ref="AL4">_xlfn.IFS(COUNTIF(Table14623578[[#This Row],[Phrases H]],"*H361*"), 10, TRUE, "")</f>
        <v/>
      </c>
      <c r="AM4" s="37" t="str" cm="1">
        <f t="array" ref="AM4">_xlfn.IFS(COUNTIF(Table14623578[[#This Row],[Phrases H]],"*H362*"), 10, TRUE, "")</f>
        <v/>
      </c>
      <c r="AN4" s="37" cm="1">
        <f t="array" ref="AN4">_xlfn.IFS(COUNTIF(Table14623578[[#This Row],[Phrases H]],"*H341*"), 10, TRUE, "")</f>
        <v>10</v>
      </c>
      <c r="AO4" s="37" t="str" cm="1">
        <f t="array" ref="AO4">_xlfn.IFS(COUNTIF(Table14623578[[#This Row],[Phrases H]],"*H372*"), 10, TRUE, "")</f>
        <v/>
      </c>
      <c r="AP4" s="37" cm="1">
        <f t="array" ref="AP4">_xlfn.IFS(COUNTIF(Table14623578[[#This Row],[Phrases H]],"*H410*"), 10, TRUE, "")</f>
        <v>10</v>
      </c>
      <c r="AQ4" s="37" t="str" cm="1">
        <f t="array" ref="AQ4">_xlfn.IFS(COUNTIF(Table14623578[[#This Row],[Phrases H]],"*H373*"), 5, TRUE, "")</f>
        <v/>
      </c>
      <c r="AR4" s="37" t="str" cm="1">
        <f t="array" ref="AR4">_xlfn.IFS(COUNTIF(Table14623578[[#This Row],[Phrases H]],"*H411*"), 5, TRUE, "")</f>
        <v/>
      </c>
      <c r="AS4" s="57">
        <f t="shared" si="0"/>
        <v>20</v>
      </c>
      <c r="AT4" s="83">
        <v>5.9956351945975497</v>
      </c>
      <c r="AU4" s="61" t="str">
        <f t="shared" si="10"/>
        <v>0</v>
      </c>
      <c r="AV4" s="81">
        <f t="shared" si="1"/>
        <v>20</v>
      </c>
      <c r="AW4" s="69" t="str">
        <f t="shared" si="2"/>
        <v>4</v>
      </c>
      <c r="AX4" s="29"/>
      <c r="AY4" s="78" t="s">
        <v>88</v>
      </c>
      <c r="AZ4" s="15" t="s">
        <v>97</v>
      </c>
      <c r="BA4" s="64">
        <f t="shared" si="3"/>
        <v>0</v>
      </c>
      <c r="BB4" s="65" t="str">
        <f t="shared" si="4"/>
        <v>N/A</v>
      </c>
      <c r="BC4" s="68" t="str">
        <f t="shared" si="5"/>
        <v>E</v>
      </c>
      <c r="BD4" s="35"/>
      <c r="BE4" s="74" t="s">
        <v>889</v>
      </c>
      <c r="BF4" s="92">
        <v>1</v>
      </c>
      <c r="BG4" s="74" t="s">
        <v>889</v>
      </c>
      <c r="BH4" s="91">
        <v>1</v>
      </c>
      <c r="BI4" s="69" t="s">
        <v>131</v>
      </c>
      <c r="BK4" s="71" t="str">
        <f t="shared" si="6"/>
        <v>Catégorie 4EOUI</v>
      </c>
      <c r="BM4" s="44" t="s">
        <v>150</v>
      </c>
      <c r="BO4" s="72" t="str">
        <f t="shared" si="7"/>
        <v/>
      </c>
      <c r="BP4" s="73" t="str">
        <f t="shared" si="8"/>
        <v/>
      </c>
      <c r="BQ4" s="181" t="str">
        <f t="shared" si="9"/>
        <v/>
      </c>
      <c r="BR4" s="70"/>
      <c r="BS4" s="221" t="s">
        <v>85</v>
      </c>
    </row>
    <row r="5" spans="1:71" s="27" customFormat="1" ht="30" customHeight="1" thickBot="1" x14ac:dyDescent="0.6">
      <c r="A5" s="227">
        <v>4</v>
      </c>
      <c r="B5" s="224" t="s">
        <v>2108</v>
      </c>
      <c r="C5" s="223" t="s">
        <v>2150</v>
      </c>
      <c r="D5" s="223" t="s">
        <v>2151</v>
      </c>
      <c r="E5" s="223" t="s">
        <v>2152</v>
      </c>
      <c r="F5" s="228" t="s">
        <v>2153</v>
      </c>
      <c r="G5" s="20" t="s">
        <v>2141</v>
      </c>
      <c r="H5" s="20" t="s">
        <v>2154</v>
      </c>
      <c r="I5" s="20" t="s">
        <v>2115</v>
      </c>
      <c r="J5" s="20" t="s">
        <v>2116</v>
      </c>
      <c r="K5" s="21" t="s">
        <v>88</v>
      </c>
      <c r="L5" s="21"/>
      <c r="M5" s="21" t="s">
        <v>85</v>
      </c>
      <c r="N5" s="21"/>
      <c r="O5" s="21"/>
      <c r="P5" s="21"/>
      <c r="Q5" s="21"/>
      <c r="R5" s="21"/>
      <c r="S5" s="21" t="s">
        <v>88</v>
      </c>
      <c r="T5" s="21"/>
      <c r="U5" s="21" t="s">
        <v>2155</v>
      </c>
      <c r="V5" s="21" t="s">
        <v>122</v>
      </c>
      <c r="W5" s="21" t="s">
        <v>2156</v>
      </c>
      <c r="X5" s="21" t="s">
        <v>2157</v>
      </c>
      <c r="Y5" s="21" t="s">
        <v>2158</v>
      </c>
      <c r="Z5" s="21" t="s">
        <v>2159</v>
      </c>
      <c r="AA5" s="11"/>
      <c r="AB5" s="28">
        <f>LOG(1070000)</f>
        <v>6.0293837776852097</v>
      </c>
      <c r="AC5" s="21" t="s">
        <v>2160</v>
      </c>
      <c r="AD5" s="21" t="s">
        <v>2161</v>
      </c>
      <c r="AE5" s="26"/>
      <c r="AF5" s="36" t="str" cm="1">
        <f t="array" ref="AF5">_xlfn.IFS(COUNTIF(Table14623578[[#This Row],[PBT/ vPvB]],"*X*"), 20, TRUE, "")</f>
        <v/>
      </c>
      <c r="AG5" s="37" t="str" cm="1">
        <f t="array" ref="AG5">_xlfn.IFS(COUNTIF(Table14623578[[#This Row],[Perturbateur Endocrinien]],"*X*"), 20, TRUE, "")</f>
        <v/>
      </c>
      <c r="AH5" s="37" t="str" cm="1">
        <f t="array" ref="AH5">_xlfn.IFS(COUNTIF(Table14623578[[#This Row],[Phrases H]],"*H350*"), 20, TRUE, "")</f>
        <v/>
      </c>
      <c r="AI5" s="37" t="str" cm="1">
        <f t="array" ref="AI5">_xlfn.IFS(COUNTIF(Table14623578[[#This Row],[Phrases H]],"*H360*"), 20, TRUE, "")</f>
        <v/>
      </c>
      <c r="AJ5" s="37" t="str" cm="1">
        <f t="array" ref="AJ5">_xlfn.IFS(COUNTIF(Table14623578[[#This Row],[Phrases H]],"*H340*"), 20, TRUE, "")</f>
        <v/>
      </c>
      <c r="AK5" s="37" t="str" cm="1">
        <f t="array" ref="AK5">_xlfn.IFS(COUNTIF(Table14623578[[#This Row],[Phrases H]],"*H351*"), 10, TRUE, "")</f>
        <v/>
      </c>
      <c r="AL5" s="37" t="str" cm="1">
        <f t="array" ref="AL5">_xlfn.IFS(COUNTIF(Table14623578[[#This Row],[Phrases H]],"*H361*"), 10, TRUE, "")</f>
        <v/>
      </c>
      <c r="AM5" s="37" t="str" cm="1">
        <f t="array" ref="AM5">_xlfn.IFS(COUNTIF(Table14623578[[#This Row],[Phrases H]],"*H362*"), 10, TRUE, "")</f>
        <v/>
      </c>
      <c r="AN5" s="37" t="str" cm="1">
        <f t="array" ref="AN5">_xlfn.IFS(COUNTIF(Table14623578[[#This Row],[Phrases H]],"*H341*"), 10, TRUE, "")</f>
        <v/>
      </c>
      <c r="AO5" s="37" t="str" cm="1">
        <f t="array" ref="AO5">_xlfn.IFS(COUNTIF(Table14623578[[#This Row],[Phrases H]],"*H372*"), 10, TRUE, "")</f>
        <v/>
      </c>
      <c r="AP5" s="37" cm="1">
        <f t="array" ref="AP5">_xlfn.IFS(COUNTIF(Table14623578[[#This Row],[Phrases H]],"*H410*"), 10, TRUE, "")</f>
        <v>10</v>
      </c>
      <c r="AQ5" s="37" t="str" cm="1">
        <f t="array" ref="AQ5">_xlfn.IFS(COUNTIF(Table14623578[[#This Row],[Phrases H]],"*H373*"), 5, TRUE, "")</f>
        <v/>
      </c>
      <c r="AR5" s="37" t="str" cm="1">
        <f t="array" ref="AR5">_xlfn.IFS(COUNTIF(Table14623578[[#This Row],[Phrases H]],"*H411*"), 5, TRUE, "")</f>
        <v/>
      </c>
      <c r="AS5" s="57">
        <f t="shared" si="0"/>
        <v>10</v>
      </c>
      <c r="AT5" s="83">
        <v>6.0293837776852097</v>
      </c>
      <c r="AU5" s="61" t="str">
        <f t="shared" si="10"/>
        <v>0</v>
      </c>
      <c r="AV5" s="81">
        <f t="shared" si="1"/>
        <v>10</v>
      </c>
      <c r="AW5" s="69" t="str">
        <f t="shared" si="2"/>
        <v>5</v>
      </c>
      <c r="AX5" s="29"/>
      <c r="AY5" s="78" t="s">
        <v>88</v>
      </c>
      <c r="AZ5" s="15" t="s">
        <v>97</v>
      </c>
      <c r="BA5" s="64">
        <f t="shared" ref="BA5:BA36" si="11">IF(AY5="N/A",0,IF(AY5&lt;=10,5,IF(AY5&lt;=100,10,IF(AY5&lt;=1000,15,IF(AY5&lt;=10000,20,25)))))</f>
        <v>0</v>
      </c>
      <c r="BB5" s="65" t="str">
        <f t="shared" si="4"/>
        <v>N/A</v>
      </c>
      <c r="BC5" s="68" t="str">
        <f t="shared" si="5"/>
        <v>E</v>
      </c>
      <c r="BD5" s="35"/>
      <c r="BE5" s="74" t="s">
        <v>889</v>
      </c>
      <c r="BF5" s="92">
        <v>1</v>
      </c>
      <c r="BG5" s="74" t="s">
        <v>889</v>
      </c>
      <c r="BH5" s="91">
        <v>1</v>
      </c>
      <c r="BI5" s="69" t="s">
        <v>131</v>
      </c>
      <c r="BK5" s="71" t="str">
        <f t="shared" si="6"/>
        <v>Catégorie 5EOUI</v>
      </c>
      <c r="BM5" s="44" t="s">
        <v>150</v>
      </c>
      <c r="BO5" s="72" t="str">
        <f t="shared" si="7"/>
        <v/>
      </c>
      <c r="BP5" s="73" t="str">
        <f t="shared" si="8"/>
        <v/>
      </c>
      <c r="BQ5" s="181" t="str">
        <f t="shared" si="9"/>
        <v/>
      </c>
      <c r="BR5" s="70"/>
      <c r="BS5" s="221" t="s">
        <v>85</v>
      </c>
    </row>
    <row r="6" spans="1:71" s="27" customFormat="1" ht="30" customHeight="1" thickBot="1" x14ac:dyDescent="0.6">
      <c r="A6" s="227">
        <v>5</v>
      </c>
      <c r="B6" s="224" t="s">
        <v>2108</v>
      </c>
      <c r="C6" s="223" t="s">
        <v>2162</v>
      </c>
      <c r="D6" s="223" t="s">
        <v>2163</v>
      </c>
      <c r="E6" s="223" t="s">
        <v>2164</v>
      </c>
      <c r="F6" s="228" t="s">
        <v>2165</v>
      </c>
      <c r="G6" s="20" t="s">
        <v>2141</v>
      </c>
      <c r="H6" s="20" t="s">
        <v>2166</v>
      </c>
      <c r="I6" s="20" t="s">
        <v>2115</v>
      </c>
      <c r="J6" s="20" t="s">
        <v>2116</v>
      </c>
      <c r="K6" s="21" t="s">
        <v>88</v>
      </c>
      <c r="L6" s="21"/>
      <c r="M6" s="21" t="s">
        <v>85</v>
      </c>
      <c r="N6" s="21"/>
      <c r="O6" s="21"/>
      <c r="P6" s="21"/>
      <c r="Q6" s="21"/>
      <c r="R6" s="21"/>
      <c r="S6" s="21" t="s">
        <v>88</v>
      </c>
      <c r="T6" s="21"/>
      <c r="U6" s="21" t="s">
        <v>2167</v>
      </c>
      <c r="V6" s="21" t="s">
        <v>122</v>
      </c>
      <c r="W6" s="21" t="s">
        <v>2168</v>
      </c>
      <c r="X6" s="21" t="s">
        <v>2169</v>
      </c>
      <c r="Y6" s="21" t="s">
        <v>2170</v>
      </c>
      <c r="Z6" s="21" t="s">
        <v>2171</v>
      </c>
      <c r="AA6" s="11"/>
      <c r="AB6" s="28">
        <f>LOG(1740000)</f>
        <v>6.2405492482825995</v>
      </c>
      <c r="AC6" s="21" t="s">
        <v>2172</v>
      </c>
      <c r="AD6" s="21" t="s">
        <v>2161</v>
      </c>
      <c r="AE6" s="26"/>
      <c r="AF6" s="36" t="str" cm="1">
        <f t="array" ref="AF6">_xlfn.IFS(COUNTIF(Table14623578[[#This Row],[PBT/ vPvB]],"*X*"), 20, TRUE, "")</f>
        <v/>
      </c>
      <c r="AG6" s="37" t="str" cm="1">
        <f t="array" ref="AG6">_xlfn.IFS(COUNTIF(Table14623578[[#This Row],[Perturbateur Endocrinien]],"*X*"), 20, TRUE, "")</f>
        <v/>
      </c>
      <c r="AH6" s="37" t="str" cm="1">
        <f t="array" ref="AH6">_xlfn.IFS(COUNTIF(Table14623578[[#This Row],[Phrases H]],"*H350*"), 20, TRUE, "")</f>
        <v/>
      </c>
      <c r="AI6" s="37" t="str" cm="1">
        <f t="array" ref="AI6">_xlfn.IFS(COUNTIF(Table14623578[[#This Row],[Phrases H]],"*H360*"), 20, TRUE, "")</f>
        <v/>
      </c>
      <c r="AJ6" s="37" t="str" cm="1">
        <f t="array" ref="AJ6">_xlfn.IFS(COUNTIF(Table14623578[[#This Row],[Phrases H]],"*H340*"), 20, TRUE, "")</f>
        <v/>
      </c>
      <c r="AK6" s="37" t="str" cm="1">
        <f t="array" ref="AK6">_xlfn.IFS(COUNTIF(Table14623578[[#This Row],[Phrases H]],"*H351*"), 10, TRUE, "")</f>
        <v/>
      </c>
      <c r="AL6" s="37" t="str" cm="1">
        <f t="array" ref="AL6">_xlfn.IFS(COUNTIF(Table14623578[[#This Row],[Phrases H]],"*H361*"), 10, TRUE, "")</f>
        <v/>
      </c>
      <c r="AM6" s="37" t="str" cm="1">
        <f t="array" ref="AM6">_xlfn.IFS(COUNTIF(Table14623578[[#This Row],[Phrases H]],"*H362*"), 10, TRUE, "")</f>
        <v/>
      </c>
      <c r="AN6" s="37" t="str" cm="1">
        <f t="array" ref="AN6">_xlfn.IFS(COUNTIF(Table14623578[[#This Row],[Phrases H]],"*H341*"), 10, TRUE, "")</f>
        <v/>
      </c>
      <c r="AO6" s="37" t="str" cm="1">
        <f t="array" ref="AO6">_xlfn.IFS(COUNTIF(Table14623578[[#This Row],[Phrases H]],"*H372*"), 10, TRUE, "")</f>
        <v/>
      </c>
      <c r="AP6" s="37" t="str" cm="1">
        <f t="array" ref="AP6">_xlfn.IFS(COUNTIF(Table14623578[[#This Row],[Phrases H]],"*H410*"), 10, TRUE, "")</f>
        <v/>
      </c>
      <c r="AQ6" s="37" t="str" cm="1">
        <f t="array" ref="AQ6">_xlfn.IFS(COUNTIF(Table14623578[[#This Row],[Phrases H]],"*H373*"), 5, TRUE, "")</f>
        <v/>
      </c>
      <c r="AR6" s="37" t="str" cm="1">
        <f t="array" ref="AR6">_xlfn.IFS(COUNTIF(Table14623578[[#This Row],[Phrases H]],"*H411*"), 5, TRUE, "")</f>
        <v/>
      </c>
      <c r="AS6" s="57">
        <f t="shared" si="0"/>
        <v>0</v>
      </c>
      <c r="AT6" s="83">
        <v>6.2405492482825995</v>
      </c>
      <c r="AU6" s="61" t="str">
        <f t="shared" si="10"/>
        <v>0</v>
      </c>
      <c r="AV6" s="81">
        <f t="shared" si="1"/>
        <v>0</v>
      </c>
      <c r="AW6" s="69" t="str">
        <f t="shared" si="2"/>
        <v>5</v>
      </c>
      <c r="AX6" s="29"/>
      <c r="AY6" s="78" t="s">
        <v>88</v>
      </c>
      <c r="AZ6" s="15" t="s">
        <v>97</v>
      </c>
      <c r="BA6" s="64">
        <f t="shared" si="11"/>
        <v>0</v>
      </c>
      <c r="BB6" s="65" t="str">
        <f t="shared" si="4"/>
        <v>N/A</v>
      </c>
      <c r="BC6" s="68" t="str">
        <f t="shared" si="5"/>
        <v>E</v>
      </c>
      <c r="BD6" s="35"/>
      <c r="BE6" s="74" t="s">
        <v>889</v>
      </c>
      <c r="BF6" s="92">
        <v>1</v>
      </c>
      <c r="BG6" s="74" t="s">
        <v>889</v>
      </c>
      <c r="BH6" s="91">
        <v>1</v>
      </c>
      <c r="BI6" s="69" t="s">
        <v>131</v>
      </c>
      <c r="BK6" s="71" t="str">
        <f t="shared" si="6"/>
        <v>Catégorie 5EOUI</v>
      </c>
      <c r="BM6" s="44" t="s">
        <v>150</v>
      </c>
      <c r="BO6" s="72" t="str">
        <f t="shared" si="7"/>
        <v/>
      </c>
      <c r="BP6" s="73" t="str">
        <f t="shared" si="8"/>
        <v/>
      </c>
      <c r="BQ6" s="181" t="str">
        <f t="shared" si="9"/>
        <v/>
      </c>
      <c r="BR6" s="70"/>
      <c r="BS6" s="221" t="s">
        <v>85</v>
      </c>
    </row>
    <row r="7" spans="1:71" s="27" customFormat="1" ht="30" customHeight="1" thickBot="1" x14ac:dyDescent="0.6">
      <c r="A7" s="227">
        <v>6</v>
      </c>
      <c r="B7" s="224" t="s">
        <v>2108</v>
      </c>
      <c r="C7" s="223" t="s">
        <v>2173</v>
      </c>
      <c r="D7" s="223" t="s">
        <v>2174</v>
      </c>
      <c r="E7" s="223" t="s">
        <v>2175</v>
      </c>
      <c r="F7" s="228" t="s">
        <v>2176</v>
      </c>
      <c r="G7" s="20" t="s">
        <v>2177</v>
      </c>
      <c r="H7" s="20" t="s">
        <v>2178</v>
      </c>
      <c r="I7" s="20" t="s">
        <v>2115</v>
      </c>
      <c r="J7" s="20" t="s">
        <v>2116</v>
      </c>
      <c r="K7" s="21" t="s">
        <v>88</v>
      </c>
      <c r="L7" s="21"/>
      <c r="M7" s="21" t="s">
        <v>85</v>
      </c>
      <c r="N7" s="21"/>
      <c r="O7" s="21"/>
      <c r="P7" s="21"/>
      <c r="Q7" s="21"/>
      <c r="R7" s="21"/>
      <c r="S7" s="21" t="s">
        <v>88</v>
      </c>
      <c r="T7" s="21"/>
      <c r="U7" s="21" t="s">
        <v>2179</v>
      </c>
      <c r="V7" s="21" t="s">
        <v>122</v>
      </c>
      <c r="W7" s="21" t="s">
        <v>2180</v>
      </c>
      <c r="X7" s="21" t="s">
        <v>2181</v>
      </c>
      <c r="Y7" s="21" t="s">
        <v>2182</v>
      </c>
      <c r="Z7" s="21" t="s">
        <v>1891</v>
      </c>
      <c r="AA7" s="11"/>
      <c r="AB7" s="28">
        <f>LOG(1700000)</f>
        <v>6.2304489213782741</v>
      </c>
      <c r="AC7" s="21" t="s">
        <v>2183</v>
      </c>
      <c r="AD7" s="21" t="s">
        <v>2184</v>
      </c>
      <c r="AE7" s="26"/>
      <c r="AF7" s="36" t="str" cm="1">
        <f t="array" ref="AF7">_xlfn.IFS(COUNTIF(Table14623578[[#This Row],[PBT/ vPvB]],"*X*"), 20, TRUE, "")</f>
        <v/>
      </c>
      <c r="AG7" s="37" t="str" cm="1">
        <f t="array" ref="AG7">_xlfn.IFS(COUNTIF(Table14623578[[#This Row],[Perturbateur Endocrinien]],"*X*"), 20, TRUE, "")</f>
        <v/>
      </c>
      <c r="AH7" s="37" t="str" cm="1">
        <f t="array" ref="AH7">_xlfn.IFS(COUNTIF(Table14623578[[#This Row],[Phrases H]],"*H350*"), 20, TRUE, "")</f>
        <v/>
      </c>
      <c r="AI7" s="37" t="str" cm="1">
        <f t="array" ref="AI7">_xlfn.IFS(COUNTIF(Table14623578[[#This Row],[Phrases H]],"*H360*"), 20, TRUE, "")</f>
        <v/>
      </c>
      <c r="AJ7" s="37" t="str" cm="1">
        <f t="array" ref="AJ7">_xlfn.IFS(COUNTIF(Table14623578[[#This Row],[Phrases H]],"*H340*"), 20, TRUE, "")</f>
        <v/>
      </c>
      <c r="AK7" s="37" t="str" cm="1">
        <f t="array" ref="AK7">_xlfn.IFS(COUNTIF(Table14623578[[#This Row],[Phrases H]],"*H351*"), 10, TRUE, "")</f>
        <v/>
      </c>
      <c r="AL7" s="37" t="str" cm="1">
        <f t="array" ref="AL7">_xlfn.IFS(COUNTIF(Table14623578[[#This Row],[Phrases H]],"*H361*"), 10, TRUE, "")</f>
        <v/>
      </c>
      <c r="AM7" s="37" t="str" cm="1">
        <f t="array" ref="AM7">_xlfn.IFS(COUNTIF(Table14623578[[#This Row],[Phrases H]],"*H362*"), 10, TRUE, "")</f>
        <v/>
      </c>
      <c r="AN7" s="37" cm="1">
        <f t="array" ref="AN7">_xlfn.IFS(COUNTIF(Table14623578[[#This Row],[Phrases H]],"*H341*"), 10, TRUE, "")</f>
        <v>10</v>
      </c>
      <c r="AO7" s="37" t="str" cm="1">
        <f t="array" ref="AO7">_xlfn.IFS(COUNTIF(Table14623578[[#This Row],[Phrases H]],"*H372*"), 10, TRUE, "")</f>
        <v/>
      </c>
      <c r="AP7" s="37" cm="1">
        <f t="array" ref="AP7">_xlfn.IFS(COUNTIF(Table14623578[[#This Row],[Phrases H]],"*H410*"), 10, TRUE, "")</f>
        <v>10</v>
      </c>
      <c r="AQ7" s="37" t="str" cm="1">
        <f t="array" ref="AQ7">_xlfn.IFS(COUNTIF(Table14623578[[#This Row],[Phrases H]],"*H373*"), 5, TRUE, "")</f>
        <v/>
      </c>
      <c r="AR7" s="37" t="str" cm="1">
        <f t="array" ref="AR7">_xlfn.IFS(COUNTIF(Table14623578[[#This Row],[Phrases H]],"*H411*"), 5, TRUE, "")</f>
        <v/>
      </c>
      <c r="AS7" s="57">
        <f t="shared" si="0"/>
        <v>20</v>
      </c>
      <c r="AT7" s="83">
        <v>6.2304489213782741</v>
      </c>
      <c r="AU7" s="61" t="str">
        <f t="shared" si="10"/>
        <v>0</v>
      </c>
      <c r="AV7" s="81">
        <f t="shared" si="1"/>
        <v>20</v>
      </c>
      <c r="AW7" s="69" t="str">
        <f t="shared" si="2"/>
        <v>4</v>
      </c>
      <c r="AX7" s="29"/>
      <c r="AY7" s="78" t="s">
        <v>88</v>
      </c>
      <c r="AZ7" s="15" t="s">
        <v>97</v>
      </c>
      <c r="BA7" s="64">
        <f t="shared" si="11"/>
        <v>0</v>
      </c>
      <c r="BB7" s="65" t="str">
        <f t="shared" si="4"/>
        <v>N/A</v>
      </c>
      <c r="BC7" s="68" t="str">
        <f t="shared" si="5"/>
        <v>E</v>
      </c>
      <c r="BD7" s="35"/>
      <c r="BE7" s="74" t="s">
        <v>889</v>
      </c>
      <c r="BF7" s="92">
        <v>1</v>
      </c>
      <c r="BG7" s="74" t="s">
        <v>889</v>
      </c>
      <c r="BH7" s="91">
        <v>1</v>
      </c>
      <c r="BI7" s="69" t="s">
        <v>131</v>
      </c>
      <c r="BK7" s="71" t="str">
        <f t="shared" si="6"/>
        <v>Catégorie 4EOUI</v>
      </c>
      <c r="BM7" s="44" t="s">
        <v>150</v>
      </c>
      <c r="BO7" s="72" t="str">
        <f t="shared" si="7"/>
        <v/>
      </c>
      <c r="BP7" s="73" t="str">
        <f t="shared" si="8"/>
        <v/>
      </c>
      <c r="BQ7" s="181" t="str">
        <f t="shared" si="9"/>
        <v/>
      </c>
      <c r="BR7" s="70"/>
      <c r="BS7" s="221" t="s">
        <v>85</v>
      </c>
    </row>
    <row r="8" spans="1:71" s="27" customFormat="1" ht="30" customHeight="1" x14ac:dyDescent="0.55000000000000004">
      <c r="A8" s="227">
        <v>7</v>
      </c>
      <c r="B8" s="224" t="s">
        <v>2108</v>
      </c>
      <c r="C8" s="223" t="s">
        <v>2185</v>
      </c>
      <c r="D8" s="223" t="s">
        <v>2186</v>
      </c>
      <c r="E8" s="223" t="s">
        <v>2187</v>
      </c>
      <c r="F8" s="228" t="s">
        <v>2188</v>
      </c>
      <c r="G8" s="20" t="s">
        <v>2189</v>
      </c>
      <c r="H8" s="20" t="s">
        <v>2190</v>
      </c>
      <c r="I8" s="20" t="s">
        <v>2115</v>
      </c>
      <c r="J8" s="20" t="s">
        <v>2116</v>
      </c>
      <c r="K8" s="21" t="s">
        <v>88</v>
      </c>
      <c r="L8" s="21"/>
      <c r="M8" s="21" t="s">
        <v>85</v>
      </c>
      <c r="N8" s="21"/>
      <c r="O8" s="21"/>
      <c r="P8" s="21"/>
      <c r="Q8" s="21"/>
      <c r="R8" s="21"/>
      <c r="S8" s="21" t="s">
        <v>88</v>
      </c>
      <c r="T8" s="21"/>
      <c r="U8" s="21" t="s">
        <v>2191</v>
      </c>
      <c r="V8" s="21" t="s">
        <v>122</v>
      </c>
      <c r="W8" s="21" t="s">
        <v>2192</v>
      </c>
      <c r="X8" s="21" t="s">
        <v>2193</v>
      </c>
      <c r="Y8" s="21" t="s">
        <v>2194</v>
      </c>
      <c r="Z8" s="21" t="s">
        <v>2195</v>
      </c>
      <c r="AA8" s="11"/>
      <c r="AB8" s="28">
        <f>LOG(55500)</f>
        <v>4.7442929831226763</v>
      </c>
      <c r="AC8" s="21" t="s">
        <v>2196</v>
      </c>
      <c r="AD8" s="21" t="s">
        <v>2197</v>
      </c>
      <c r="AE8" s="26"/>
      <c r="AF8" s="36" t="str" cm="1">
        <f t="array" ref="AF8">_xlfn.IFS(COUNTIF(Table14623578[[#This Row],[PBT/ vPvB]],"*X*"), 20, TRUE, "")</f>
        <v/>
      </c>
      <c r="AG8" s="37" t="str" cm="1">
        <f t="array" ref="AG8">_xlfn.IFS(COUNTIF(Table14623578[[#This Row],[Perturbateur Endocrinien]],"*X*"), 20, TRUE, "")</f>
        <v/>
      </c>
      <c r="AH8" s="37" t="str" cm="1">
        <f t="array" ref="AH8">_xlfn.IFS(COUNTIF(Table14623578[[#This Row],[Phrases H]],"*H350*"), 20, TRUE, "")</f>
        <v/>
      </c>
      <c r="AI8" s="37" t="str" cm="1">
        <f t="array" ref="AI8">_xlfn.IFS(COUNTIF(Table14623578[[#This Row],[Phrases H]],"*H360*"), 20, TRUE, "")</f>
        <v/>
      </c>
      <c r="AJ8" s="37" t="str" cm="1">
        <f t="array" ref="AJ8">_xlfn.IFS(COUNTIF(Table14623578[[#This Row],[Phrases H]],"*H340*"), 20, TRUE, "")</f>
        <v/>
      </c>
      <c r="AK8" s="37" t="str" cm="1">
        <f t="array" ref="AK8">_xlfn.IFS(COUNTIF(Table14623578[[#This Row],[Phrases H]],"*H351*"), 10, TRUE, "")</f>
        <v/>
      </c>
      <c r="AL8" s="37" t="str" cm="1">
        <f t="array" ref="AL8">_xlfn.IFS(COUNTIF(Table14623578[[#This Row],[Phrases H]],"*H361*"), 10, TRUE, "")</f>
        <v/>
      </c>
      <c r="AM8" s="37" t="str" cm="1">
        <f t="array" ref="AM8">_xlfn.IFS(COUNTIF(Table14623578[[#This Row],[Phrases H]],"*H362*"), 10, TRUE, "")</f>
        <v/>
      </c>
      <c r="AN8" s="37" t="str" cm="1">
        <f t="array" ref="AN8">_xlfn.IFS(COUNTIF(Table14623578[[#This Row],[Phrases H]],"*H341*"), 10, TRUE, "")</f>
        <v/>
      </c>
      <c r="AO8" s="37" t="str" cm="1">
        <f t="array" ref="AO8">_xlfn.IFS(COUNTIF(Table14623578[[#This Row],[Phrases H]],"*H372*"), 10, TRUE, "")</f>
        <v/>
      </c>
      <c r="AP8" s="37" cm="1">
        <f t="array" ref="AP8">_xlfn.IFS(COUNTIF(Table14623578[[#This Row],[Phrases H]],"*H410*"), 10, TRUE, "")</f>
        <v>10</v>
      </c>
      <c r="AQ8" s="37" t="str" cm="1">
        <f t="array" ref="AQ8">_xlfn.IFS(COUNTIF(Table14623578[[#This Row],[Phrases H]],"*H373*"), 5, TRUE, "")</f>
        <v/>
      </c>
      <c r="AR8" s="37" t="str" cm="1">
        <f t="array" ref="AR8">_xlfn.IFS(COUNTIF(Table14623578[[#This Row],[Phrases H]],"*H411*"), 5, TRUE, "")</f>
        <v/>
      </c>
      <c r="AS8" s="57">
        <f t="shared" si="0"/>
        <v>10</v>
      </c>
      <c r="AT8" s="83">
        <v>4.7442929831226763</v>
      </c>
      <c r="AU8" s="61" t="str">
        <f t="shared" si="10"/>
        <v>0</v>
      </c>
      <c r="AV8" s="81">
        <f t="shared" si="1"/>
        <v>10</v>
      </c>
      <c r="AW8" s="69" t="str">
        <f t="shared" si="2"/>
        <v>5</v>
      </c>
      <c r="AX8" s="29"/>
      <c r="AY8" s="78" t="s">
        <v>88</v>
      </c>
      <c r="AZ8" s="15" t="s">
        <v>97</v>
      </c>
      <c r="BA8" s="64">
        <f t="shared" si="11"/>
        <v>0</v>
      </c>
      <c r="BB8" s="65" t="str">
        <f t="shared" si="4"/>
        <v>N/A</v>
      </c>
      <c r="BC8" s="68" t="str">
        <f t="shared" si="5"/>
        <v>E</v>
      </c>
      <c r="BD8" s="35"/>
      <c r="BE8" s="74" t="s">
        <v>889</v>
      </c>
      <c r="BF8" s="92">
        <v>1</v>
      </c>
      <c r="BG8" s="74" t="s">
        <v>889</v>
      </c>
      <c r="BH8" s="91">
        <v>1</v>
      </c>
      <c r="BI8" s="69" t="s">
        <v>131</v>
      </c>
      <c r="BK8" s="71" t="str">
        <f t="shared" si="6"/>
        <v>Catégorie 5EOUI</v>
      </c>
      <c r="BM8" s="44" t="s">
        <v>150</v>
      </c>
      <c r="BO8" s="72" t="str">
        <f t="shared" si="7"/>
        <v/>
      </c>
      <c r="BP8" s="73" t="str">
        <f t="shared" si="8"/>
        <v/>
      </c>
      <c r="BQ8" s="181" t="str">
        <f t="shared" si="9"/>
        <v/>
      </c>
      <c r="BR8" s="70"/>
      <c r="BS8" s="221" t="s">
        <v>85</v>
      </c>
    </row>
    <row r="9" spans="1:71" s="27" customFormat="1" ht="30" customHeight="1" x14ac:dyDescent="0.55000000000000004">
      <c r="A9" s="227">
        <v>8</v>
      </c>
      <c r="B9" s="224" t="s">
        <v>2108</v>
      </c>
      <c r="C9" s="223" t="s">
        <v>2198</v>
      </c>
      <c r="D9" s="223" t="s">
        <v>2199</v>
      </c>
      <c r="E9" s="223" t="s">
        <v>2200</v>
      </c>
      <c r="F9" s="228" t="s">
        <v>2201</v>
      </c>
      <c r="G9" s="20" t="s">
        <v>2202</v>
      </c>
      <c r="H9" s="20" t="s">
        <v>2203</v>
      </c>
      <c r="I9" s="20" t="s">
        <v>2204</v>
      </c>
      <c r="J9" s="20" t="s">
        <v>2205</v>
      </c>
      <c r="K9" s="21" t="s">
        <v>88</v>
      </c>
      <c r="L9" s="21"/>
      <c r="M9" s="21" t="s">
        <v>85</v>
      </c>
      <c r="N9" s="21"/>
      <c r="O9" s="21"/>
      <c r="P9" s="21"/>
      <c r="Q9" s="21"/>
      <c r="R9" s="21"/>
      <c r="S9" s="21" t="s">
        <v>88</v>
      </c>
      <c r="T9" s="21"/>
      <c r="U9" s="21" t="s">
        <v>2206</v>
      </c>
      <c r="V9" s="21" t="s">
        <v>122</v>
      </c>
      <c r="W9" s="21" t="s">
        <v>2207</v>
      </c>
      <c r="X9" s="21" t="s">
        <v>2208</v>
      </c>
      <c r="Y9" s="21" t="s">
        <v>2209</v>
      </c>
      <c r="Z9" s="21" t="s">
        <v>2210</v>
      </c>
      <c r="AA9" s="11"/>
      <c r="AB9" s="28">
        <v>6.62</v>
      </c>
      <c r="AC9" s="21" t="s">
        <v>2211</v>
      </c>
      <c r="AD9" s="21" t="s">
        <v>2212</v>
      </c>
      <c r="AE9" s="26"/>
      <c r="AF9" s="36" t="str" cm="1">
        <f t="array" ref="AF9">_xlfn.IFS(COUNTIF(Table14623578[[#This Row],[PBT/ vPvB]],"*X*"), 20, TRUE, "")</f>
        <v/>
      </c>
      <c r="AG9" s="37" t="str" cm="1">
        <f t="array" ref="AG9">_xlfn.IFS(COUNTIF(Table14623578[[#This Row],[Perturbateur Endocrinien]],"*X*"), 20, TRUE, "")</f>
        <v/>
      </c>
      <c r="AH9" s="37" t="str" cm="1">
        <f t="array" ref="AH9">_xlfn.IFS(COUNTIF(Table14623578[[#This Row],[Phrases H]],"*H350*"), 20, TRUE, "")</f>
        <v/>
      </c>
      <c r="AI9" s="37" t="str" cm="1">
        <f t="array" ref="AI9">_xlfn.IFS(COUNTIF(Table14623578[[#This Row],[Phrases H]],"*H360*"), 20, TRUE, "")</f>
        <v/>
      </c>
      <c r="AJ9" s="37" t="str" cm="1">
        <f t="array" ref="AJ9">_xlfn.IFS(COUNTIF(Table14623578[[#This Row],[Phrases H]],"*H340*"), 20, TRUE, "")</f>
        <v/>
      </c>
      <c r="AK9" s="37" t="str" cm="1">
        <f t="array" ref="AK9">_xlfn.IFS(COUNTIF(Table14623578[[#This Row],[Phrases H]],"*H351*"), 10, TRUE, "")</f>
        <v/>
      </c>
      <c r="AL9" s="37" t="str" cm="1">
        <f t="array" ref="AL9">_xlfn.IFS(COUNTIF(Table14623578[[#This Row],[Phrases H]],"*H361*"), 10, TRUE, "")</f>
        <v/>
      </c>
      <c r="AM9" s="37" t="str" cm="1">
        <f t="array" ref="AM9">_xlfn.IFS(COUNTIF(Table14623578[[#This Row],[Phrases H]],"*H362*"), 10, TRUE, "")</f>
        <v/>
      </c>
      <c r="AN9" s="37" t="str" cm="1">
        <f t="array" ref="AN9">_xlfn.IFS(COUNTIF(Table14623578[[#This Row],[Phrases H]],"*H341*"), 10, TRUE, "")</f>
        <v/>
      </c>
      <c r="AO9" s="37" t="str" cm="1">
        <f t="array" ref="AO9">_xlfn.IFS(COUNTIF(Table14623578[[#This Row],[Phrases H]],"*H372*"), 10, TRUE, "")</f>
        <v/>
      </c>
      <c r="AP9" s="37" t="str" cm="1">
        <f t="array" ref="AP9">_xlfn.IFS(COUNTIF(Table14623578[[#This Row],[Phrases H]],"*H410*"), 10, TRUE, "")</f>
        <v/>
      </c>
      <c r="AQ9" s="37" t="str" cm="1">
        <f t="array" ref="AQ9">_xlfn.IFS(COUNTIF(Table14623578[[#This Row],[Phrases H]],"*H373*"), 5, TRUE, "")</f>
        <v/>
      </c>
      <c r="AR9" s="37" cm="1">
        <f t="array" ref="AR9">_xlfn.IFS(COUNTIF(Table14623578[[#This Row],[Phrases H]],"*H411*"), 5, TRUE, "")</f>
        <v>5</v>
      </c>
      <c r="AS9" s="57">
        <f t="shared" si="0"/>
        <v>5</v>
      </c>
      <c r="AT9" s="83">
        <v>6.62</v>
      </c>
      <c r="AU9" s="61" t="str">
        <f t="shared" si="10"/>
        <v>0</v>
      </c>
      <c r="AV9" s="81">
        <f t="shared" si="1"/>
        <v>5</v>
      </c>
      <c r="AW9" s="69" t="str">
        <f t="shared" si="2"/>
        <v>5</v>
      </c>
      <c r="AX9" s="29"/>
      <c r="AY9" s="78" t="s">
        <v>88</v>
      </c>
      <c r="AZ9" s="15" t="s">
        <v>97</v>
      </c>
      <c r="BA9" s="64">
        <f t="shared" si="11"/>
        <v>0</v>
      </c>
      <c r="BB9" s="65" t="str">
        <f t="shared" si="4"/>
        <v>N/A</v>
      </c>
      <c r="BC9" s="68" t="str">
        <f t="shared" si="5"/>
        <v>E</v>
      </c>
      <c r="BD9" s="35"/>
      <c r="BE9" s="74" t="s">
        <v>1538</v>
      </c>
      <c r="BF9" s="87">
        <v>2</v>
      </c>
      <c r="BG9" s="74" t="s">
        <v>1538</v>
      </c>
      <c r="BH9" s="88">
        <v>2</v>
      </c>
      <c r="BI9" s="69" t="s">
        <v>131</v>
      </c>
      <c r="BK9" s="71" t="str">
        <f t="shared" si="6"/>
        <v>Catégorie 5EOUI</v>
      </c>
      <c r="BM9" s="44" t="s">
        <v>150</v>
      </c>
      <c r="BO9" s="72" t="str">
        <f t="shared" si="7"/>
        <v/>
      </c>
      <c r="BP9" s="73" t="str">
        <f t="shared" si="8"/>
        <v/>
      </c>
      <c r="BQ9" s="181" t="str">
        <f t="shared" si="9"/>
        <v>X</v>
      </c>
      <c r="BR9" s="70"/>
      <c r="BS9" s="221" t="s">
        <v>85</v>
      </c>
    </row>
    <row r="10" spans="1:71" s="27" customFormat="1" ht="30" customHeight="1" x14ac:dyDescent="0.55000000000000004">
      <c r="A10" s="227">
        <v>9</v>
      </c>
      <c r="B10" s="224" t="s">
        <v>2108</v>
      </c>
      <c r="C10" s="223" t="s">
        <v>2213</v>
      </c>
      <c r="D10" s="223" t="s">
        <v>2214</v>
      </c>
      <c r="E10" s="223" t="s">
        <v>2215</v>
      </c>
      <c r="F10" s="228" t="s">
        <v>2216</v>
      </c>
      <c r="G10" s="20" t="s">
        <v>2217</v>
      </c>
      <c r="H10" s="20" t="s">
        <v>2218</v>
      </c>
      <c r="I10" s="20" t="s">
        <v>2204</v>
      </c>
      <c r="J10" s="20" t="s">
        <v>2205</v>
      </c>
      <c r="K10" s="21" t="s">
        <v>88</v>
      </c>
      <c r="L10" s="21"/>
      <c r="M10" s="21" t="s">
        <v>85</v>
      </c>
      <c r="N10" s="21"/>
      <c r="O10" s="21"/>
      <c r="P10" s="21"/>
      <c r="Q10" s="21"/>
      <c r="R10" s="21"/>
      <c r="S10" s="21" t="s">
        <v>88</v>
      </c>
      <c r="T10" s="21"/>
      <c r="U10" s="21" t="s">
        <v>2219</v>
      </c>
      <c r="V10" s="21" t="s">
        <v>173</v>
      </c>
      <c r="W10" s="21" t="s">
        <v>2220</v>
      </c>
      <c r="X10" s="21" t="s">
        <v>2221</v>
      </c>
      <c r="Y10" s="21" t="s">
        <v>2222</v>
      </c>
      <c r="Z10" s="21" t="s">
        <v>2223</v>
      </c>
      <c r="AA10" s="11"/>
      <c r="AB10" s="28">
        <f>LOG(621000)</f>
        <v>5.79309160017658</v>
      </c>
      <c r="AC10" s="21" t="s">
        <v>2224</v>
      </c>
      <c r="AD10" s="21" t="s">
        <v>2225</v>
      </c>
      <c r="AE10" s="26"/>
      <c r="AF10" s="36" t="str" cm="1">
        <f t="array" ref="AF10">_xlfn.IFS(COUNTIF(Table14623578[[#This Row],[PBT/ vPvB]],"*X*"), 20, TRUE, "")</f>
        <v/>
      </c>
      <c r="AG10" s="37" t="str" cm="1">
        <f t="array" ref="AG10">_xlfn.IFS(COUNTIF(Table14623578[[#This Row],[Perturbateur Endocrinien]],"*X*"), 20, TRUE, "")</f>
        <v/>
      </c>
      <c r="AH10" s="37" cm="1">
        <f t="array" ref="AH10">_xlfn.IFS(COUNTIF(Table14623578[[#This Row],[Phrases H]],"*H350*"), 20, TRUE, "")</f>
        <v>20</v>
      </c>
      <c r="AI10" s="37" t="str" cm="1">
        <f t="array" ref="AI10">_xlfn.IFS(COUNTIF(Table14623578[[#This Row],[Phrases H]],"*H360*"), 20, TRUE, "")</f>
        <v/>
      </c>
      <c r="AJ10" s="37" t="str" cm="1">
        <f t="array" ref="AJ10">_xlfn.IFS(COUNTIF(Table14623578[[#This Row],[Phrases H]],"*H340*"), 20, TRUE, "")</f>
        <v/>
      </c>
      <c r="AK10" s="37" t="str" cm="1">
        <f t="array" ref="AK10">_xlfn.IFS(COUNTIF(Table14623578[[#This Row],[Phrases H]],"*H351*"), 10, TRUE, "")</f>
        <v/>
      </c>
      <c r="AL10" s="37" t="str" cm="1">
        <f t="array" ref="AL10">_xlfn.IFS(COUNTIF(Table14623578[[#This Row],[Phrases H]],"*H361*"), 10, TRUE, "")</f>
        <v/>
      </c>
      <c r="AM10" s="37" t="str" cm="1">
        <f t="array" ref="AM10">_xlfn.IFS(COUNTIF(Table14623578[[#This Row],[Phrases H]],"*H362*"), 10, TRUE, "")</f>
        <v/>
      </c>
      <c r="AN10" s="37" t="str" cm="1">
        <f t="array" ref="AN10">_xlfn.IFS(COUNTIF(Table14623578[[#This Row],[Phrases H]],"*H341*"), 10, TRUE, "")</f>
        <v/>
      </c>
      <c r="AO10" s="37" t="str" cm="1">
        <f t="array" ref="AO10">_xlfn.IFS(COUNTIF(Table14623578[[#This Row],[Phrases H]],"*H372*"), 10, TRUE, "")</f>
        <v/>
      </c>
      <c r="AP10" s="37" cm="1">
        <f t="array" ref="AP10">_xlfn.IFS(COUNTIF(Table14623578[[#This Row],[Phrases H]],"*H410*"), 10, TRUE, "")</f>
        <v>10</v>
      </c>
      <c r="AQ10" s="37" cm="1">
        <f t="array" ref="AQ10">_xlfn.IFS(COUNTIF(Table14623578[[#This Row],[Phrases H]],"*H373*"), 5, TRUE, "")</f>
        <v>5</v>
      </c>
      <c r="AR10" s="37" t="str" cm="1">
        <f t="array" ref="AR10">_xlfn.IFS(COUNTIF(Table14623578[[#This Row],[Phrases H]],"*H411*"), 5, TRUE, "")</f>
        <v/>
      </c>
      <c r="AS10" s="57">
        <f t="shared" si="0"/>
        <v>35</v>
      </c>
      <c r="AT10" s="83">
        <v>5.79309160017658</v>
      </c>
      <c r="AU10" s="61" t="str">
        <f t="shared" si="10"/>
        <v>0</v>
      </c>
      <c r="AV10" s="81">
        <f t="shared" si="1"/>
        <v>35</v>
      </c>
      <c r="AW10" s="69" t="str">
        <f t="shared" si="2"/>
        <v>3</v>
      </c>
      <c r="AX10" s="29"/>
      <c r="AY10" s="78" t="s">
        <v>88</v>
      </c>
      <c r="AZ10" s="15" t="s">
        <v>97</v>
      </c>
      <c r="BA10" s="64">
        <f t="shared" si="11"/>
        <v>0</v>
      </c>
      <c r="BB10" s="65" t="str">
        <f t="shared" si="4"/>
        <v>N/A</v>
      </c>
      <c r="BC10" s="68" t="str">
        <f t="shared" si="5"/>
        <v>E</v>
      </c>
      <c r="BD10" s="35"/>
      <c r="BE10" s="74" t="s">
        <v>1538</v>
      </c>
      <c r="BF10" s="87">
        <v>2</v>
      </c>
      <c r="BG10" s="74" t="s">
        <v>1538</v>
      </c>
      <c r="BH10" s="88">
        <v>2</v>
      </c>
      <c r="BI10" s="69" t="s">
        <v>131</v>
      </c>
      <c r="BK10" s="71" t="str">
        <f t="shared" si="6"/>
        <v>Catégorie 3EOUI</v>
      </c>
      <c r="BM10" s="44" t="s">
        <v>150</v>
      </c>
      <c r="BO10" s="72" t="str">
        <f>IF(OR(AW10="1", AW10="2",AW10="3"), "X", "")</f>
        <v>X</v>
      </c>
      <c r="BP10" s="73" t="str">
        <f t="shared" si="8"/>
        <v/>
      </c>
      <c r="BQ10" s="181" t="str">
        <f t="shared" si="9"/>
        <v/>
      </c>
      <c r="BR10" s="70"/>
      <c r="BS10" s="221" t="s">
        <v>85</v>
      </c>
    </row>
    <row r="11" spans="1:71" s="27" customFormat="1" ht="30" customHeight="1" x14ac:dyDescent="0.55000000000000004">
      <c r="A11" s="227">
        <v>10</v>
      </c>
      <c r="B11" s="224" t="s">
        <v>2108</v>
      </c>
      <c r="C11" s="223" t="s">
        <v>2226</v>
      </c>
      <c r="D11" s="223" t="s">
        <v>2227</v>
      </c>
      <c r="E11" s="223" t="s">
        <v>2228</v>
      </c>
      <c r="F11" s="228" t="s">
        <v>2229</v>
      </c>
      <c r="G11" s="20" t="s">
        <v>2230</v>
      </c>
      <c r="H11" s="20" t="s">
        <v>2231</v>
      </c>
      <c r="I11" s="20" t="s">
        <v>2204</v>
      </c>
      <c r="J11" s="20" t="s">
        <v>2205</v>
      </c>
      <c r="K11" s="21" t="s">
        <v>88</v>
      </c>
      <c r="L11" s="21"/>
      <c r="M11" s="21" t="s">
        <v>85</v>
      </c>
      <c r="N11" s="21"/>
      <c r="O11" s="21"/>
      <c r="P11" s="21"/>
      <c r="Q11" s="21"/>
      <c r="R11" s="21"/>
      <c r="S11" s="21" t="s">
        <v>88</v>
      </c>
      <c r="T11" s="21"/>
      <c r="U11" s="21" t="s">
        <v>2143</v>
      </c>
      <c r="V11" s="21" t="s">
        <v>122</v>
      </c>
      <c r="W11" s="21" t="s">
        <v>2232</v>
      </c>
      <c r="X11" s="21" t="s">
        <v>2233</v>
      </c>
      <c r="Y11" s="21" t="s">
        <v>2234</v>
      </c>
      <c r="Z11" s="21" t="s">
        <v>2235</v>
      </c>
      <c r="AA11" s="11"/>
      <c r="AB11" s="28">
        <f>LOG(649000)</f>
        <v>5.8122446968003691</v>
      </c>
      <c r="AC11" s="21" t="s">
        <v>2236</v>
      </c>
      <c r="AD11" s="21" t="s">
        <v>2237</v>
      </c>
      <c r="AE11" s="26"/>
      <c r="AF11" s="36" t="str" cm="1">
        <f t="array" ref="AF11">_xlfn.IFS(COUNTIF(Table14623578[[#This Row],[PBT/ vPvB]],"*X*"), 20, TRUE, "")</f>
        <v/>
      </c>
      <c r="AG11" s="37" t="str" cm="1">
        <f t="array" ref="AG11">_xlfn.IFS(COUNTIF(Table14623578[[#This Row],[Perturbateur Endocrinien]],"*X*"), 20, TRUE, "")</f>
        <v/>
      </c>
      <c r="AH11" s="37" t="str" cm="1">
        <f t="array" ref="AH11">_xlfn.IFS(COUNTIF(Table14623578[[#This Row],[Phrases H]],"*H350*"), 20, TRUE, "")</f>
        <v/>
      </c>
      <c r="AI11" s="37" t="str" cm="1">
        <f t="array" ref="AI11">_xlfn.IFS(COUNTIF(Table14623578[[#This Row],[Phrases H]],"*H360*"), 20, TRUE, "")</f>
        <v/>
      </c>
      <c r="AJ11" s="37" t="str" cm="1">
        <f t="array" ref="AJ11">_xlfn.IFS(COUNTIF(Table14623578[[#This Row],[Phrases H]],"*H340*"), 20, TRUE, "")</f>
        <v/>
      </c>
      <c r="AK11" s="37" t="str" cm="1">
        <f t="array" ref="AK11">_xlfn.IFS(COUNTIF(Table14623578[[#This Row],[Phrases H]],"*H351*"), 10, TRUE, "")</f>
        <v/>
      </c>
      <c r="AL11" s="37" t="str" cm="1">
        <f t="array" ref="AL11">_xlfn.IFS(COUNTIF(Table14623578[[#This Row],[Phrases H]],"*H361*"), 10, TRUE, "")</f>
        <v/>
      </c>
      <c r="AM11" s="37" t="str" cm="1">
        <f t="array" ref="AM11">_xlfn.IFS(COUNTIF(Table14623578[[#This Row],[Phrases H]],"*H362*"), 10, TRUE, "")</f>
        <v/>
      </c>
      <c r="AN11" s="37" cm="1">
        <f t="array" ref="AN11">_xlfn.IFS(COUNTIF(Table14623578[[#This Row],[Phrases H]],"*H341*"), 10, TRUE, "")</f>
        <v>10</v>
      </c>
      <c r="AO11" s="37" t="str" cm="1">
        <f t="array" ref="AO11">_xlfn.IFS(COUNTIF(Table14623578[[#This Row],[Phrases H]],"*H372*"), 10, TRUE, "")</f>
        <v/>
      </c>
      <c r="AP11" s="37" cm="1">
        <f t="array" ref="AP11">_xlfn.IFS(COUNTIF(Table14623578[[#This Row],[Phrases H]],"*H410*"), 10, TRUE, "")</f>
        <v>10</v>
      </c>
      <c r="AQ11" s="37" t="str" cm="1">
        <f t="array" ref="AQ11">_xlfn.IFS(COUNTIF(Table14623578[[#This Row],[Phrases H]],"*H373*"), 5, TRUE, "")</f>
        <v/>
      </c>
      <c r="AR11" s="37" t="str" cm="1">
        <f t="array" ref="AR11">_xlfn.IFS(COUNTIF(Table14623578[[#This Row],[Phrases H]],"*H411*"), 5, TRUE, "")</f>
        <v/>
      </c>
      <c r="AS11" s="57">
        <f t="shared" si="0"/>
        <v>20</v>
      </c>
      <c r="AT11" s="83">
        <v>5.8122446968003691</v>
      </c>
      <c r="AU11" s="61" t="str">
        <f t="shared" si="10"/>
        <v>0</v>
      </c>
      <c r="AV11" s="81">
        <f t="shared" si="1"/>
        <v>20</v>
      </c>
      <c r="AW11" s="69" t="str">
        <f t="shared" si="2"/>
        <v>4</v>
      </c>
      <c r="AX11" s="29"/>
      <c r="AY11" s="78" t="s">
        <v>88</v>
      </c>
      <c r="AZ11" s="15" t="s">
        <v>97</v>
      </c>
      <c r="BA11" s="64">
        <f t="shared" si="11"/>
        <v>0</v>
      </c>
      <c r="BB11" s="65" t="str">
        <f t="shared" si="4"/>
        <v>N/A</v>
      </c>
      <c r="BC11" s="68" t="str">
        <f t="shared" si="5"/>
        <v>E</v>
      </c>
      <c r="BD11" s="35"/>
      <c r="BE11" s="74" t="s">
        <v>1538</v>
      </c>
      <c r="BF11" s="87">
        <v>2</v>
      </c>
      <c r="BG11" s="74" t="s">
        <v>1538</v>
      </c>
      <c r="BH11" s="88">
        <v>2</v>
      </c>
      <c r="BI11" s="69" t="s">
        <v>131</v>
      </c>
      <c r="BK11" s="71" t="str">
        <f t="shared" si="6"/>
        <v>Catégorie 4EOUI</v>
      </c>
      <c r="BM11" s="44" t="s">
        <v>150</v>
      </c>
      <c r="BO11" s="72" t="str">
        <f t="shared" ref="BO11:BO18" si="12">IF(OR(AW11="1", AW11="2"), "X", "")</f>
        <v/>
      </c>
      <c r="BP11" s="73" t="str">
        <f t="shared" si="8"/>
        <v/>
      </c>
      <c r="BQ11" s="181" t="str">
        <f t="shared" si="9"/>
        <v/>
      </c>
      <c r="BR11" s="70"/>
      <c r="BS11" s="221" t="s">
        <v>85</v>
      </c>
    </row>
    <row r="12" spans="1:71" s="27" customFormat="1" ht="30" customHeight="1" x14ac:dyDescent="0.55000000000000004">
      <c r="A12" s="227">
        <v>11</v>
      </c>
      <c r="B12" s="224" t="s">
        <v>2108</v>
      </c>
      <c r="C12" s="223" t="s">
        <v>2238</v>
      </c>
      <c r="D12" s="223" t="s">
        <v>2239</v>
      </c>
      <c r="E12" s="223" t="s">
        <v>2240</v>
      </c>
      <c r="F12" s="228" t="s">
        <v>2241</v>
      </c>
      <c r="G12" s="20" t="s">
        <v>2242</v>
      </c>
      <c r="H12" s="20" t="s">
        <v>2243</v>
      </c>
      <c r="I12" s="20" t="s">
        <v>2204</v>
      </c>
      <c r="J12" s="20" t="s">
        <v>2205</v>
      </c>
      <c r="K12" s="21" t="s">
        <v>88</v>
      </c>
      <c r="L12" s="21"/>
      <c r="M12" s="21" t="s">
        <v>85</v>
      </c>
      <c r="N12" s="21"/>
      <c r="O12" s="21"/>
      <c r="P12" s="21"/>
      <c r="Q12" s="21"/>
      <c r="R12" s="21"/>
      <c r="S12" s="21" t="s">
        <v>88</v>
      </c>
      <c r="T12" s="21"/>
      <c r="U12" s="21" t="s">
        <v>2167</v>
      </c>
      <c r="V12" s="21" t="s">
        <v>122</v>
      </c>
      <c r="W12" s="21" t="s">
        <v>2244</v>
      </c>
      <c r="X12" s="21" t="s">
        <v>2245</v>
      </c>
      <c r="Y12" s="21" t="s">
        <v>2246</v>
      </c>
      <c r="Z12" s="21" t="s">
        <v>2247</v>
      </c>
      <c r="AA12" s="11"/>
      <c r="AB12" s="28">
        <f>LOG(960000)</f>
        <v>5.982271233039568</v>
      </c>
      <c r="AC12" s="21" t="s">
        <v>2248</v>
      </c>
      <c r="AD12" s="21" t="s">
        <v>2249</v>
      </c>
      <c r="AE12" s="26"/>
      <c r="AF12" s="36" t="str" cm="1">
        <f t="array" ref="AF12">_xlfn.IFS(COUNTIF(Table14623578[[#This Row],[PBT/ vPvB]],"*X*"), 20, TRUE, "")</f>
        <v/>
      </c>
      <c r="AG12" s="37" t="str" cm="1">
        <f t="array" ref="AG12">_xlfn.IFS(COUNTIF(Table14623578[[#This Row],[Perturbateur Endocrinien]],"*X*"), 20, TRUE, "")</f>
        <v/>
      </c>
      <c r="AH12" s="37" t="str" cm="1">
        <f t="array" ref="AH12">_xlfn.IFS(COUNTIF(Table14623578[[#This Row],[Phrases H]],"*H350*"), 20, TRUE, "")</f>
        <v/>
      </c>
      <c r="AI12" s="37" t="str" cm="1">
        <f t="array" ref="AI12">_xlfn.IFS(COUNTIF(Table14623578[[#This Row],[Phrases H]],"*H360*"), 20, TRUE, "")</f>
        <v/>
      </c>
      <c r="AJ12" s="37" t="str" cm="1">
        <f t="array" ref="AJ12">_xlfn.IFS(COUNTIF(Table14623578[[#This Row],[Phrases H]],"*H340*"), 20, TRUE, "")</f>
        <v/>
      </c>
      <c r="AK12" s="37" t="str" cm="1">
        <f t="array" ref="AK12">_xlfn.IFS(COUNTIF(Table14623578[[#This Row],[Phrases H]],"*H351*"), 10, TRUE, "")</f>
        <v/>
      </c>
      <c r="AL12" s="37" t="str" cm="1">
        <f t="array" ref="AL12">_xlfn.IFS(COUNTIF(Table14623578[[#This Row],[Phrases H]],"*H361*"), 10, TRUE, "")</f>
        <v/>
      </c>
      <c r="AM12" s="37" t="str" cm="1">
        <f t="array" ref="AM12">_xlfn.IFS(COUNTIF(Table14623578[[#This Row],[Phrases H]],"*H362*"), 10, TRUE, "")</f>
        <v/>
      </c>
      <c r="AN12" s="37" t="str" cm="1">
        <f t="array" ref="AN12">_xlfn.IFS(COUNTIF(Table14623578[[#This Row],[Phrases H]],"*H341*"), 10, TRUE, "")</f>
        <v/>
      </c>
      <c r="AO12" s="37" t="str" cm="1">
        <f t="array" ref="AO12">_xlfn.IFS(COUNTIF(Table14623578[[#This Row],[Phrases H]],"*H372*"), 10, TRUE, "")</f>
        <v/>
      </c>
      <c r="AP12" s="37" t="str" cm="1">
        <f t="array" ref="AP12">_xlfn.IFS(COUNTIF(Table14623578[[#This Row],[Phrases H]],"*H410*"), 10, TRUE, "")</f>
        <v/>
      </c>
      <c r="AQ12" s="37" t="str" cm="1">
        <f t="array" ref="AQ12">_xlfn.IFS(COUNTIF(Table14623578[[#This Row],[Phrases H]],"*H373*"), 5, TRUE, "")</f>
        <v/>
      </c>
      <c r="AR12" s="37" t="str" cm="1">
        <f t="array" ref="AR12">_xlfn.IFS(COUNTIF(Table14623578[[#This Row],[Phrases H]],"*H411*"), 5, TRUE, "")</f>
        <v/>
      </c>
      <c r="AS12" s="57">
        <f t="shared" si="0"/>
        <v>0</v>
      </c>
      <c r="AT12" s="83">
        <v>5.982271233039568</v>
      </c>
      <c r="AU12" s="61" t="str">
        <f t="shared" si="10"/>
        <v>0</v>
      </c>
      <c r="AV12" s="81">
        <f t="shared" si="1"/>
        <v>0</v>
      </c>
      <c r="AW12" s="69" t="str">
        <f t="shared" si="2"/>
        <v>5</v>
      </c>
      <c r="AX12" s="29"/>
      <c r="AY12" s="78" t="s">
        <v>88</v>
      </c>
      <c r="AZ12" s="15" t="s">
        <v>97</v>
      </c>
      <c r="BA12" s="64">
        <f t="shared" si="11"/>
        <v>0</v>
      </c>
      <c r="BB12" s="65" t="str">
        <f t="shared" si="4"/>
        <v>N/A</v>
      </c>
      <c r="BC12" s="68" t="str">
        <f t="shared" si="5"/>
        <v>E</v>
      </c>
      <c r="BD12" s="35"/>
      <c r="BE12" s="74" t="s">
        <v>1538</v>
      </c>
      <c r="BF12" s="87">
        <v>2</v>
      </c>
      <c r="BG12" s="74" t="s">
        <v>1538</v>
      </c>
      <c r="BH12" s="88">
        <v>2</v>
      </c>
      <c r="BI12" s="69" t="s">
        <v>131</v>
      </c>
      <c r="BK12" s="71" t="str">
        <f t="shared" si="6"/>
        <v>Catégorie 5EOUI</v>
      </c>
      <c r="BM12" s="44" t="s">
        <v>150</v>
      </c>
      <c r="BO12" s="72" t="str">
        <f t="shared" si="12"/>
        <v/>
      </c>
      <c r="BP12" s="73" t="str">
        <f t="shared" si="8"/>
        <v/>
      </c>
      <c r="BQ12" s="181" t="str">
        <f t="shared" si="9"/>
        <v/>
      </c>
      <c r="BR12" s="70"/>
      <c r="BS12" s="221" t="s">
        <v>85</v>
      </c>
    </row>
    <row r="13" spans="1:71" s="27" customFormat="1" ht="30" customHeight="1" x14ac:dyDescent="0.55000000000000004">
      <c r="A13" s="227">
        <v>12</v>
      </c>
      <c r="B13" s="224" t="s">
        <v>2108</v>
      </c>
      <c r="C13" s="223" t="s">
        <v>2250</v>
      </c>
      <c r="D13" s="223" t="s">
        <v>2251</v>
      </c>
      <c r="E13" s="223" t="s">
        <v>2252</v>
      </c>
      <c r="F13" s="228" t="s">
        <v>2253</v>
      </c>
      <c r="G13" s="20" t="s">
        <v>2242</v>
      </c>
      <c r="H13" s="20" t="s">
        <v>2254</v>
      </c>
      <c r="I13" s="20" t="s">
        <v>2204</v>
      </c>
      <c r="J13" s="20" t="s">
        <v>2205</v>
      </c>
      <c r="K13" s="21" t="s">
        <v>88</v>
      </c>
      <c r="L13" s="21"/>
      <c r="M13" s="21" t="s">
        <v>85</v>
      </c>
      <c r="N13" s="21"/>
      <c r="O13" s="21"/>
      <c r="P13" s="21"/>
      <c r="Q13" s="21"/>
      <c r="R13" s="21"/>
      <c r="S13" s="21" t="s">
        <v>88</v>
      </c>
      <c r="T13" s="21"/>
      <c r="U13" s="21" t="s">
        <v>2143</v>
      </c>
      <c r="V13" s="21" t="s">
        <v>122</v>
      </c>
      <c r="W13" s="21" t="s">
        <v>2255</v>
      </c>
      <c r="X13" s="21" t="s">
        <v>2256</v>
      </c>
      <c r="Y13" s="21" t="s">
        <v>2257</v>
      </c>
      <c r="Z13" s="21" t="s">
        <v>2258</v>
      </c>
      <c r="AA13" s="11"/>
      <c r="AB13" s="28">
        <f>LOG(1010000)</f>
        <v>6.0043213737826422</v>
      </c>
      <c r="AC13" s="21" t="s">
        <v>2259</v>
      </c>
      <c r="AD13" s="21" t="s">
        <v>2161</v>
      </c>
      <c r="AE13" s="26"/>
      <c r="AF13" s="36" t="str" cm="1">
        <f t="array" ref="AF13">_xlfn.IFS(COUNTIF(Table14623578[[#This Row],[PBT/ vPvB]],"*X*"), 20, TRUE, "")</f>
        <v/>
      </c>
      <c r="AG13" s="37" t="str" cm="1">
        <f t="array" ref="AG13">_xlfn.IFS(COUNTIF(Table14623578[[#This Row],[Perturbateur Endocrinien]],"*X*"), 20, TRUE, "")</f>
        <v/>
      </c>
      <c r="AH13" s="37" t="str" cm="1">
        <f t="array" ref="AH13">_xlfn.IFS(COUNTIF(Table14623578[[#This Row],[Phrases H]],"*H350*"), 20, TRUE, "")</f>
        <v/>
      </c>
      <c r="AI13" s="37" t="str" cm="1">
        <f t="array" ref="AI13">_xlfn.IFS(COUNTIF(Table14623578[[#This Row],[Phrases H]],"*H360*"), 20, TRUE, "")</f>
        <v/>
      </c>
      <c r="AJ13" s="37" t="str" cm="1">
        <f t="array" ref="AJ13">_xlfn.IFS(COUNTIF(Table14623578[[#This Row],[Phrases H]],"*H340*"), 20, TRUE, "")</f>
        <v/>
      </c>
      <c r="AK13" s="37" t="str" cm="1">
        <f t="array" ref="AK13">_xlfn.IFS(COUNTIF(Table14623578[[#This Row],[Phrases H]],"*H351*"), 10, TRUE, "")</f>
        <v/>
      </c>
      <c r="AL13" s="37" t="str" cm="1">
        <f t="array" ref="AL13">_xlfn.IFS(COUNTIF(Table14623578[[#This Row],[Phrases H]],"*H361*"), 10, TRUE, "")</f>
        <v/>
      </c>
      <c r="AM13" s="37" t="str" cm="1">
        <f t="array" ref="AM13">_xlfn.IFS(COUNTIF(Table14623578[[#This Row],[Phrases H]],"*H362*"), 10, TRUE, "")</f>
        <v/>
      </c>
      <c r="AN13" s="37" cm="1">
        <f t="array" ref="AN13">_xlfn.IFS(COUNTIF(Table14623578[[#This Row],[Phrases H]],"*H341*"), 10, TRUE, "")</f>
        <v>10</v>
      </c>
      <c r="AO13" s="37" t="str" cm="1">
        <f t="array" ref="AO13">_xlfn.IFS(COUNTIF(Table14623578[[#This Row],[Phrases H]],"*H372*"), 10, TRUE, "")</f>
        <v/>
      </c>
      <c r="AP13" s="37" cm="1">
        <f t="array" ref="AP13">_xlfn.IFS(COUNTIF(Table14623578[[#This Row],[Phrases H]],"*H410*"), 10, TRUE, "")</f>
        <v>10</v>
      </c>
      <c r="AQ13" s="37" t="str" cm="1">
        <f t="array" ref="AQ13">_xlfn.IFS(COUNTIF(Table14623578[[#This Row],[Phrases H]],"*H373*"), 5, TRUE, "")</f>
        <v/>
      </c>
      <c r="AR13" s="37" t="str" cm="1">
        <f t="array" ref="AR13">_xlfn.IFS(COUNTIF(Table14623578[[#This Row],[Phrases H]],"*H411*"), 5, TRUE, "")</f>
        <v/>
      </c>
      <c r="AS13" s="57">
        <f t="shared" si="0"/>
        <v>20</v>
      </c>
      <c r="AT13" s="83">
        <v>6.0043213737826422</v>
      </c>
      <c r="AU13" s="61" t="str">
        <f t="shared" si="10"/>
        <v>0</v>
      </c>
      <c r="AV13" s="81">
        <f t="shared" si="1"/>
        <v>20</v>
      </c>
      <c r="AW13" s="69" t="str">
        <f t="shared" si="2"/>
        <v>4</v>
      </c>
      <c r="AX13" s="29"/>
      <c r="AY13" s="78" t="s">
        <v>88</v>
      </c>
      <c r="AZ13" s="15" t="s">
        <v>97</v>
      </c>
      <c r="BA13" s="64">
        <f t="shared" si="11"/>
        <v>0</v>
      </c>
      <c r="BB13" s="65" t="str">
        <f t="shared" si="4"/>
        <v>N/A</v>
      </c>
      <c r="BC13" s="68" t="str">
        <f t="shared" si="5"/>
        <v>E</v>
      </c>
      <c r="BD13" s="35"/>
      <c r="BE13" s="74" t="s">
        <v>1538</v>
      </c>
      <c r="BF13" s="87">
        <v>2</v>
      </c>
      <c r="BG13" s="74" t="s">
        <v>1538</v>
      </c>
      <c r="BH13" s="88">
        <v>2</v>
      </c>
      <c r="BI13" s="69" t="s">
        <v>131</v>
      </c>
      <c r="BK13" s="71" t="str">
        <f t="shared" si="6"/>
        <v>Catégorie 4EOUI</v>
      </c>
      <c r="BM13" s="44" t="s">
        <v>150</v>
      </c>
      <c r="BO13" s="72" t="str">
        <f t="shared" si="12"/>
        <v/>
      </c>
      <c r="BP13" s="73" t="str">
        <f t="shared" si="8"/>
        <v/>
      </c>
      <c r="BQ13" s="181" t="str">
        <f t="shared" si="9"/>
        <v/>
      </c>
      <c r="BR13" s="70"/>
      <c r="BS13" s="221" t="s">
        <v>85</v>
      </c>
    </row>
    <row r="14" spans="1:71" s="27" customFormat="1" ht="30" customHeight="1" x14ac:dyDescent="0.55000000000000004">
      <c r="A14" s="227">
        <v>13</v>
      </c>
      <c r="B14" s="224" t="s">
        <v>2108</v>
      </c>
      <c r="C14" s="223" t="s">
        <v>2260</v>
      </c>
      <c r="D14" s="223" t="s">
        <v>2261</v>
      </c>
      <c r="E14" s="223" t="s">
        <v>2262</v>
      </c>
      <c r="F14" s="228" t="s">
        <v>2263</v>
      </c>
      <c r="G14" s="20" t="s">
        <v>2242</v>
      </c>
      <c r="H14" s="20" t="s">
        <v>2264</v>
      </c>
      <c r="I14" s="20" t="s">
        <v>2204</v>
      </c>
      <c r="J14" s="20" t="s">
        <v>2205</v>
      </c>
      <c r="K14" s="21" t="s">
        <v>88</v>
      </c>
      <c r="L14" s="21"/>
      <c r="M14" s="21" t="s">
        <v>85</v>
      </c>
      <c r="N14" s="21"/>
      <c r="O14" s="21"/>
      <c r="P14" s="21"/>
      <c r="Q14" s="21"/>
      <c r="R14" s="21"/>
      <c r="S14" s="21" t="s">
        <v>88</v>
      </c>
      <c r="T14" s="21"/>
      <c r="U14" s="21" t="s">
        <v>2265</v>
      </c>
      <c r="V14" s="21" t="s">
        <v>122</v>
      </c>
      <c r="W14" s="21" t="s">
        <v>2266</v>
      </c>
      <c r="X14" s="21" t="s">
        <v>2267</v>
      </c>
      <c r="Y14" s="21" t="s">
        <v>2268</v>
      </c>
      <c r="Z14" s="21" t="s">
        <v>2269</v>
      </c>
      <c r="AA14" s="11"/>
      <c r="AB14" s="28">
        <f>LOG(286000)</f>
        <v>5.4563660331290427</v>
      </c>
      <c r="AC14" s="21" t="s">
        <v>2270</v>
      </c>
      <c r="AD14" s="21" t="s">
        <v>2271</v>
      </c>
      <c r="AE14" s="26"/>
      <c r="AF14" s="36" t="str" cm="1">
        <f t="array" ref="AF14">_xlfn.IFS(COUNTIF(Table14623578[[#This Row],[PBT/ vPvB]],"*X*"), 20, TRUE, "")</f>
        <v/>
      </c>
      <c r="AG14" s="37" t="str" cm="1">
        <f t="array" ref="AG14">_xlfn.IFS(COUNTIF(Table14623578[[#This Row],[Perturbateur Endocrinien]],"*X*"), 20, TRUE, "")</f>
        <v/>
      </c>
      <c r="AH14" s="37" t="str" cm="1">
        <f t="array" ref="AH14">_xlfn.IFS(COUNTIF(Table14623578[[#This Row],[Phrases H]],"*H350*"), 20, TRUE, "")</f>
        <v/>
      </c>
      <c r="AI14" s="37" t="str" cm="1">
        <f t="array" ref="AI14">_xlfn.IFS(COUNTIF(Table14623578[[#This Row],[Phrases H]],"*H360*"), 20, TRUE, "")</f>
        <v/>
      </c>
      <c r="AJ14" s="37" t="str" cm="1">
        <f t="array" ref="AJ14">_xlfn.IFS(COUNTIF(Table14623578[[#This Row],[Phrases H]],"*H340*"), 20, TRUE, "")</f>
        <v/>
      </c>
      <c r="AK14" s="37" t="str" cm="1">
        <f t="array" ref="AK14">_xlfn.IFS(COUNTIF(Table14623578[[#This Row],[Phrases H]],"*H351*"), 10, TRUE, "")</f>
        <v/>
      </c>
      <c r="AL14" s="37" t="str" cm="1">
        <f t="array" ref="AL14">_xlfn.IFS(COUNTIF(Table14623578[[#This Row],[Phrases H]],"*H361*"), 10, TRUE, "")</f>
        <v/>
      </c>
      <c r="AM14" s="37" t="str" cm="1">
        <f t="array" ref="AM14">_xlfn.IFS(COUNTIF(Table14623578[[#This Row],[Phrases H]],"*H362*"), 10, TRUE, "")</f>
        <v/>
      </c>
      <c r="AN14" s="37" t="str" cm="1">
        <f t="array" ref="AN14">_xlfn.IFS(COUNTIF(Table14623578[[#This Row],[Phrases H]],"*H341*"), 10, TRUE, "")</f>
        <v/>
      </c>
      <c r="AO14" s="37" t="str" cm="1">
        <f t="array" ref="AO14">_xlfn.IFS(COUNTIF(Table14623578[[#This Row],[Phrases H]],"*H372*"), 10, TRUE, "")</f>
        <v/>
      </c>
      <c r="AP14" s="37" cm="1">
        <f t="array" ref="AP14">_xlfn.IFS(COUNTIF(Table14623578[[#This Row],[Phrases H]],"*H410*"), 10, TRUE, "")</f>
        <v>10</v>
      </c>
      <c r="AQ14" s="37" t="str" cm="1">
        <f t="array" ref="AQ14">_xlfn.IFS(COUNTIF(Table14623578[[#This Row],[Phrases H]],"*H373*"), 5, TRUE, "")</f>
        <v/>
      </c>
      <c r="AR14" s="37" t="str" cm="1">
        <f t="array" ref="AR14">_xlfn.IFS(COUNTIF(Table14623578[[#This Row],[Phrases H]],"*H411*"), 5, TRUE, "")</f>
        <v/>
      </c>
      <c r="AS14" s="57">
        <f t="shared" si="0"/>
        <v>10</v>
      </c>
      <c r="AT14" s="83">
        <v>5.4563660331290427</v>
      </c>
      <c r="AU14" s="61" t="str">
        <f t="shared" si="10"/>
        <v>0</v>
      </c>
      <c r="AV14" s="81">
        <f t="shared" si="1"/>
        <v>10</v>
      </c>
      <c r="AW14" s="69" t="str">
        <f t="shared" si="2"/>
        <v>5</v>
      </c>
      <c r="AX14" s="29"/>
      <c r="AY14" s="78" t="s">
        <v>88</v>
      </c>
      <c r="AZ14" s="15" t="s">
        <v>97</v>
      </c>
      <c r="BA14" s="64">
        <f t="shared" si="11"/>
        <v>0</v>
      </c>
      <c r="BB14" s="65" t="str">
        <f t="shared" si="4"/>
        <v>N/A</v>
      </c>
      <c r="BC14" s="68" t="str">
        <f t="shared" si="5"/>
        <v>E</v>
      </c>
      <c r="BD14" s="35"/>
      <c r="BE14" s="74" t="s">
        <v>1538</v>
      </c>
      <c r="BF14" s="87">
        <v>2</v>
      </c>
      <c r="BG14" s="74" t="s">
        <v>1539</v>
      </c>
      <c r="BH14" s="88">
        <v>1</v>
      </c>
      <c r="BI14" s="69" t="s">
        <v>131</v>
      </c>
      <c r="BK14" s="71" t="str">
        <f t="shared" si="6"/>
        <v>Catégorie 5EOUI</v>
      </c>
      <c r="BM14" s="44" t="s">
        <v>150</v>
      </c>
      <c r="BO14" s="72" t="str">
        <f t="shared" si="12"/>
        <v/>
      </c>
      <c r="BP14" s="73" t="str">
        <f t="shared" si="8"/>
        <v/>
      </c>
      <c r="BQ14" s="181" t="str">
        <f t="shared" si="9"/>
        <v/>
      </c>
      <c r="BR14" s="70"/>
      <c r="BS14" s="221" t="s">
        <v>85</v>
      </c>
    </row>
    <row r="15" spans="1:71" s="27" customFormat="1" ht="30" customHeight="1" x14ac:dyDescent="0.55000000000000004">
      <c r="A15" s="227">
        <v>14</v>
      </c>
      <c r="B15" s="224" t="s">
        <v>2108</v>
      </c>
      <c r="C15" s="223" t="s">
        <v>2272</v>
      </c>
      <c r="D15" s="223" t="s">
        <v>2273</v>
      </c>
      <c r="E15" s="223" t="s">
        <v>2274</v>
      </c>
      <c r="F15" s="228" t="s">
        <v>2275</v>
      </c>
      <c r="G15" s="20" t="s">
        <v>2242</v>
      </c>
      <c r="H15" s="20" t="s">
        <v>2276</v>
      </c>
      <c r="I15" s="20" t="s">
        <v>2204</v>
      </c>
      <c r="J15" s="20" t="s">
        <v>2205</v>
      </c>
      <c r="K15" s="21" t="s">
        <v>88</v>
      </c>
      <c r="L15" s="21"/>
      <c r="M15" s="21" t="s">
        <v>85</v>
      </c>
      <c r="N15" s="21"/>
      <c r="O15" s="21"/>
      <c r="P15" s="21"/>
      <c r="Q15" s="21"/>
      <c r="R15" s="21"/>
      <c r="S15" s="21" t="s">
        <v>88</v>
      </c>
      <c r="T15" s="21"/>
      <c r="U15" s="21" t="s">
        <v>2167</v>
      </c>
      <c r="V15" s="21" t="s">
        <v>122</v>
      </c>
      <c r="W15" s="21" t="s">
        <v>2277</v>
      </c>
      <c r="X15" s="21" t="s">
        <v>2278</v>
      </c>
      <c r="Y15" s="21" t="s">
        <v>2279</v>
      </c>
      <c r="Z15" s="21" t="s">
        <v>2258</v>
      </c>
      <c r="AA15" s="11"/>
      <c r="AB15" s="28">
        <f>LOG(1010000)</f>
        <v>6.0043213737826422</v>
      </c>
      <c r="AC15" s="23">
        <v>1010000</v>
      </c>
      <c r="AD15" s="21" t="s">
        <v>2161</v>
      </c>
      <c r="AE15" s="26"/>
      <c r="AF15" s="36" t="str" cm="1">
        <f t="array" ref="AF15">_xlfn.IFS(COUNTIF(Table14623578[[#This Row],[PBT/ vPvB]],"*X*"), 20, TRUE, "")</f>
        <v/>
      </c>
      <c r="AG15" s="37" t="str" cm="1">
        <f t="array" ref="AG15">_xlfn.IFS(COUNTIF(Table14623578[[#This Row],[Perturbateur Endocrinien]],"*X*"), 20, TRUE, "")</f>
        <v/>
      </c>
      <c r="AH15" s="37" t="str" cm="1">
        <f t="array" ref="AH15">_xlfn.IFS(COUNTIF(Table14623578[[#This Row],[Phrases H]],"*H350*"), 20, TRUE, "")</f>
        <v/>
      </c>
      <c r="AI15" s="37" t="str" cm="1">
        <f t="array" ref="AI15">_xlfn.IFS(COUNTIF(Table14623578[[#This Row],[Phrases H]],"*H360*"), 20, TRUE, "")</f>
        <v/>
      </c>
      <c r="AJ15" s="37" t="str" cm="1">
        <f t="array" ref="AJ15">_xlfn.IFS(COUNTIF(Table14623578[[#This Row],[Phrases H]],"*H340*"), 20, TRUE, "")</f>
        <v/>
      </c>
      <c r="AK15" s="37" t="str" cm="1">
        <f t="array" ref="AK15">_xlfn.IFS(COUNTIF(Table14623578[[#This Row],[Phrases H]],"*H351*"), 10, TRUE, "")</f>
        <v/>
      </c>
      <c r="AL15" s="37" t="str" cm="1">
        <f t="array" ref="AL15">_xlfn.IFS(COUNTIF(Table14623578[[#This Row],[Phrases H]],"*H361*"), 10, TRUE, "")</f>
        <v/>
      </c>
      <c r="AM15" s="37" t="str" cm="1">
        <f t="array" ref="AM15">_xlfn.IFS(COUNTIF(Table14623578[[#This Row],[Phrases H]],"*H362*"), 10, TRUE, "")</f>
        <v/>
      </c>
      <c r="AN15" s="37" t="str" cm="1">
        <f t="array" ref="AN15">_xlfn.IFS(COUNTIF(Table14623578[[#This Row],[Phrases H]],"*H341*"), 10, TRUE, "")</f>
        <v/>
      </c>
      <c r="AO15" s="37" t="str" cm="1">
        <f t="array" ref="AO15">_xlfn.IFS(COUNTIF(Table14623578[[#This Row],[Phrases H]],"*H372*"), 10, TRUE, "")</f>
        <v/>
      </c>
      <c r="AP15" s="37" t="str" cm="1">
        <f t="array" ref="AP15">_xlfn.IFS(COUNTIF(Table14623578[[#This Row],[Phrases H]],"*H410*"), 10, TRUE, "")</f>
        <v/>
      </c>
      <c r="AQ15" s="37" t="str" cm="1">
        <f t="array" ref="AQ15">_xlfn.IFS(COUNTIF(Table14623578[[#This Row],[Phrases H]],"*H373*"), 5, TRUE, "")</f>
        <v/>
      </c>
      <c r="AR15" s="37" t="str" cm="1">
        <f t="array" ref="AR15">_xlfn.IFS(COUNTIF(Table14623578[[#This Row],[Phrases H]],"*H411*"), 5, TRUE, "")</f>
        <v/>
      </c>
      <c r="AS15" s="57">
        <f t="shared" si="0"/>
        <v>0</v>
      </c>
      <c r="AT15" s="83">
        <v>6.0043213737826422</v>
      </c>
      <c r="AU15" s="61" t="str">
        <f t="shared" si="10"/>
        <v>0</v>
      </c>
      <c r="AV15" s="81">
        <f t="shared" si="1"/>
        <v>0</v>
      </c>
      <c r="AW15" s="69" t="str">
        <f t="shared" si="2"/>
        <v>5</v>
      </c>
      <c r="AX15" s="29"/>
      <c r="AY15" s="78" t="s">
        <v>88</v>
      </c>
      <c r="AZ15" s="15" t="s">
        <v>97</v>
      </c>
      <c r="BA15" s="64">
        <f t="shared" si="11"/>
        <v>0</v>
      </c>
      <c r="BB15" s="65" t="str">
        <f t="shared" si="4"/>
        <v>N/A</v>
      </c>
      <c r="BC15" s="68" t="str">
        <f t="shared" si="5"/>
        <v>E</v>
      </c>
      <c r="BD15" s="35"/>
      <c r="BE15" s="74" t="s">
        <v>1538</v>
      </c>
      <c r="BF15" s="87">
        <v>2</v>
      </c>
      <c r="BG15" s="74" t="s">
        <v>1538</v>
      </c>
      <c r="BH15" s="88">
        <v>2</v>
      </c>
      <c r="BI15" s="69" t="s">
        <v>131</v>
      </c>
      <c r="BK15" s="71" t="str">
        <f t="shared" si="6"/>
        <v>Catégorie 5EOUI</v>
      </c>
      <c r="BM15" s="44" t="s">
        <v>150</v>
      </c>
      <c r="BO15" s="72" t="str">
        <f t="shared" si="12"/>
        <v/>
      </c>
      <c r="BP15" s="73" t="str">
        <f t="shared" si="8"/>
        <v/>
      </c>
      <c r="BQ15" s="181" t="str">
        <f t="shared" si="9"/>
        <v/>
      </c>
      <c r="BR15" s="70"/>
      <c r="BS15" s="221" t="s">
        <v>85</v>
      </c>
    </row>
    <row r="16" spans="1:71" s="27" customFormat="1" ht="30" customHeight="1" x14ac:dyDescent="0.55000000000000004">
      <c r="A16" s="227">
        <v>15</v>
      </c>
      <c r="B16" s="224" t="s">
        <v>2108</v>
      </c>
      <c r="C16" s="223" t="s">
        <v>2280</v>
      </c>
      <c r="D16" s="223" t="s">
        <v>2281</v>
      </c>
      <c r="E16" s="223" t="s">
        <v>2282</v>
      </c>
      <c r="F16" s="228" t="s">
        <v>2283</v>
      </c>
      <c r="G16" s="20" t="s">
        <v>2284</v>
      </c>
      <c r="H16" s="20" t="s">
        <v>2285</v>
      </c>
      <c r="I16" s="20" t="s">
        <v>2204</v>
      </c>
      <c r="J16" s="20" t="s">
        <v>2205</v>
      </c>
      <c r="K16" s="21" t="s">
        <v>88</v>
      </c>
      <c r="L16" s="21"/>
      <c r="M16" s="21" t="s">
        <v>85</v>
      </c>
      <c r="N16" s="21"/>
      <c r="O16" s="21"/>
      <c r="P16" s="21"/>
      <c r="Q16" s="21"/>
      <c r="R16" s="21"/>
      <c r="S16" s="21" t="s">
        <v>88</v>
      </c>
      <c r="T16" s="21"/>
      <c r="U16" s="21" t="s">
        <v>2286</v>
      </c>
      <c r="V16" s="21" t="s">
        <v>122</v>
      </c>
      <c r="W16" s="21" t="s">
        <v>2287</v>
      </c>
      <c r="X16" s="21" t="s">
        <v>2288</v>
      </c>
      <c r="Y16" s="21" t="s">
        <v>2289</v>
      </c>
      <c r="Z16" s="21" t="s">
        <v>2290</v>
      </c>
      <c r="AA16" s="11"/>
      <c r="AB16" s="28">
        <f>LOG(807000)</f>
        <v>5.9068735347220702</v>
      </c>
      <c r="AC16" s="23">
        <v>807000</v>
      </c>
      <c r="AD16" s="21" t="s">
        <v>2184</v>
      </c>
      <c r="AE16" s="26"/>
      <c r="AF16" s="36" t="str" cm="1">
        <f t="array" ref="AF16">_xlfn.IFS(COUNTIF(Table14623578[[#This Row],[PBT/ vPvB]],"*X*"), 20, TRUE, "")</f>
        <v/>
      </c>
      <c r="AG16" s="37" t="str" cm="1">
        <f t="array" ref="AG16">_xlfn.IFS(COUNTIF(Table14623578[[#This Row],[Perturbateur Endocrinien]],"*X*"), 20, TRUE, "")</f>
        <v/>
      </c>
      <c r="AH16" s="37" t="str" cm="1">
        <f t="array" ref="AH16">_xlfn.IFS(COUNTIF(Table14623578[[#This Row],[Phrases H]],"*H350*"), 20, TRUE, "")</f>
        <v/>
      </c>
      <c r="AI16" s="37" t="str" cm="1">
        <f t="array" ref="AI16">_xlfn.IFS(COUNTIF(Table14623578[[#This Row],[Phrases H]],"*H360*"), 20, TRUE, "")</f>
        <v/>
      </c>
      <c r="AJ16" s="37" t="str" cm="1">
        <f t="array" ref="AJ16">_xlfn.IFS(COUNTIF(Table14623578[[#This Row],[Phrases H]],"*H340*"), 20, TRUE, "")</f>
        <v/>
      </c>
      <c r="AK16" s="37" t="str" cm="1">
        <f t="array" ref="AK16">_xlfn.IFS(COUNTIF(Table14623578[[#This Row],[Phrases H]],"*H351*"), 10, TRUE, "")</f>
        <v/>
      </c>
      <c r="AL16" s="37" t="str" cm="1">
        <f t="array" ref="AL16">_xlfn.IFS(COUNTIF(Table14623578[[#This Row],[Phrases H]],"*H361*"), 10, TRUE, "")</f>
        <v/>
      </c>
      <c r="AM16" s="37" t="str" cm="1">
        <f t="array" ref="AM16">_xlfn.IFS(COUNTIF(Table14623578[[#This Row],[Phrases H]],"*H362*"), 10, TRUE, "")</f>
        <v/>
      </c>
      <c r="AN16" s="37" t="str" cm="1">
        <f t="array" ref="AN16">_xlfn.IFS(COUNTIF(Table14623578[[#This Row],[Phrases H]],"*H341*"), 10, TRUE, "")</f>
        <v/>
      </c>
      <c r="AO16" s="37" t="str" cm="1">
        <f t="array" ref="AO16">_xlfn.IFS(COUNTIF(Table14623578[[#This Row],[Phrases H]],"*H372*"), 10, TRUE, "")</f>
        <v/>
      </c>
      <c r="AP16" s="37" t="str" cm="1">
        <f t="array" ref="AP16">_xlfn.IFS(COUNTIF(Table14623578[[#This Row],[Phrases H]],"*H410*"), 10, TRUE, "")</f>
        <v/>
      </c>
      <c r="AQ16" s="37" t="str" cm="1">
        <f t="array" ref="AQ16">_xlfn.IFS(COUNTIF(Table14623578[[#This Row],[Phrases H]],"*H373*"), 5, TRUE, "")</f>
        <v/>
      </c>
      <c r="AR16" s="37" t="str" cm="1">
        <f t="array" ref="AR16">_xlfn.IFS(COUNTIF(Table14623578[[#This Row],[Phrases H]],"*H411*"), 5, TRUE, "")</f>
        <v/>
      </c>
      <c r="AS16" s="57">
        <f t="shared" si="0"/>
        <v>0</v>
      </c>
      <c r="AT16" s="83">
        <v>5.9068735347220702</v>
      </c>
      <c r="AU16" s="61" t="str">
        <f t="shared" si="10"/>
        <v>0</v>
      </c>
      <c r="AV16" s="81">
        <f t="shared" si="1"/>
        <v>0</v>
      </c>
      <c r="AW16" s="69" t="str">
        <f t="shared" si="2"/>
        <v>5</v>
      </c>
      <c r="AX16" s="29"/>
      <c r="AY16" s="78" t="s">
        <v>88</v>
      </c>
      <c r="AZ16" s="15" t="s">
        <v>97</v>
      </c>
      <c r="BA16" s="64">
        <f t="shared" si="11"/>
        <v>0</v>
      </c>
      <c r="BB16" s="65" t="str">
        <f t="shared" si="4"/>
        <v>N/A</v>
      </c>
      <c r="BC16" s="68" t="str">
        <f t="shared" si="5"/>
        <v>E</v>
      </c>
      <c r="BD16" s="35"/>
      <c r="BE16" s="74" t="s">
        <v>1538</v>
      </c>
      <c r="BF16" s="87">
        <v>2</v>
      </c>
      <c r="BG16" s="74" t="s">
        <v>1538</v>
      </c>
      <c r="BH16" s="88">
        <v>2</v>
      </c>
      <c r="BI16" s="69" t="s">
        <v>131</v>
      </c>
      <c r="BK16" s="71" t="str">
        <f t="shared" si="6"/>
        <v>Catégorie 5EOUI</v>
      </c>
      <c r="BM16" s="44" t="s">
        <v>150</v>
      </c>
      <c r="BO16" s="72" t="str">
        <f t="shared" si="12"/>
        <v/>
      </c>
      <c r="BP16" s="73" t="str">
        <f t="shared" si="8"/>
        <v/>
      </c>
      <c r="BQ16" s="181" t="str">
        <f t="shared" si="9"/>
        <v/>
      </c>
      <c r="BR16" s="70"/>
      <c r="BS16" s="221" t="s">
        <v>85</v>
      </c>
    </row>
    <row r="17" spans="1:71" s="27" customFormat="1" ht="30" customHeight="1" x14ac:dyDescent="0.55000000000000004">
      <c r="A17" s="227">
        <v>16</v>
      </c>
      <c r="B17" s="224" t="s">
        <v>2108</v>
      </c>
      <c r="C17" s="223" t="s">
        <v>2291</v>
      </c>
      <c r="D17" s="223" t="s">
        <v>2292</v>
      </c>
      <c r="E17" s="223" t="s">
        <v>2293</v>
      </c>
      <c r="F17" s="228" t="s">
        <v>2294</v>
      </c>
      <c r="G17" s="20" t="s">
        <v>2284</v>
      </c>
      <c r="H17" s="20" t="s">
        <v>2295</v>
      </c>
      <c r="I17" s="20" t="s">
        <v>2204</v>
      </c>
      <c r="J17" s="20" t="s">
        <v>2205</v>
      </c>
      <c r="K17" s="21" t="s">
        <v>88</v>
      </c>
      <c r="L17" s="21"/>
      <c r="M17" s="21" t="s">
        <v>85</v>
      </c>
      <c r="N17" s="21"/>
      <c r="O17" s="21"/>
      <c r="P17" s="21"/>
      <c r="Q17" s="21"/>
      <c r="R17" s="21"/>
      <c r="S17" s="21" t="s">
        <v>88</v>
      </c>
      <c r="T17" s="21"/>
      <c r="U17" s="21" t="s">
        <v>2296</v>
      </c>
      <c r="V17" s="21" t="s">
        <v>122</v>
      </c>
      <c r="W17" s="21" t="s">
        <v>2297</v>
      </c>
      <c r="X17" s="21" t="s">
        <v>2298</v>
      </c>
      <c r="Y17" s="21" t="s">
        <v>2299</v>
      </c>
      <c r="Z17" s="21" t="s">
        <v>2300</v>
      </c>
      <c r="AA17" s="11"/>
      <c r="AB17" s="28">
        <f>LOG(807000)</f>
        <v>5.9068735347220702</v>
      </c>
      <c r="AC17" s="21" t="s">
        <v>2301</v>
      </c>
      <c r="AD17" s="21" t="s">
        <v>2184</v>
      </c>
      <c r="AE17" s="26"/>
      <c r="AF17" s="36" t="str" cm="1">
        <f t="array" ref="AF17">_xlfn.IFS(COUNTIF(Table14623578[[#This Row],[PBT/ vPvB]],"*X*"), 20, TRUE, "")</f>
        <v/>
      </c>
      <c r="AG17" s="37" t="str" cm="1">
        <f t="array" ref="AG17">_xlfn.IFS(COUNTIF(Table14623578[[#This Row],[Perturbateur Endocrinien]],"*X*"), 20, TRUE, "")</f>
        <v/>
      </c>
      <c r="AH17" s="37" t="str" cm="1">
        <f t="array" ref="AH17">_xlfn.IFS(COUNTIF(Table14623578[[#This Row],[Phrases H]],"*H350*"), 20, TRUE, "")</f>
        <v/>
      </c>
      <c r="AI17" s="37" t="str" cm="1">
        <f t="array" ref="AI17">_xlfn.IFS(COUNTIF(Table14623578[[#This Row],[Phrases H]],"*H360*"), 20, TRUE, "")</f>
        <v/>
      </c>
      <c r="AJ17" s="37" t="str" cm="1">
        <f t="array" ref="AJ17">_xlfn.IFS(COUNTIF(Table14623578[[#This Row],[Phrases H]],"*H340*"), 20, TRUE, "")</f>
        <v/>
      </c>
      <c r="AK17" s="37" t="str" cm="1">
        <f t="array" ref="AK17">_xlfn.IFS(COUNTIF(Table14623578[[#This Row],[Phrases H]],"*H351*"), 10, TRUE, "")</f>
        <v/>
      </c>
      <c r="AL17" s="37" t="str" cm="1">
        <f t="array" ref="AL17">_xlfn.IFS(COUNTIF(Table14623578[[#This Row],[Phrases H]],"*H361*"), 10, TRUE, "")</f>
        <v/>
      </c>
      <c r="AM17" s="37" t="str" cm="1">
        <f t="array" ref="AM17">_xlfn.IFS(COUNTIF(Table14623578[[#This Row],[Phrases H]],"*H362*"), 10, TRUE, "")</f>
        <v/>
      </c>
      <c r="AN17" s="37" t="str" cm="1">
        <f t="array" ref="AN17">_xlfn.IFS(COUNTIF(Table14623578[[#This Row],[Phrases H]],"*H341*"), 10, TRUE, "")</f>
        <v/>
      </c>
      <c r="AO17" s="37" t="str" cm="1">
        <f t="array" ref="AO17">_xlfn.IFS(COUNTIF(Table14623578[[#This Row],[Phrases H]],"*H372*"), 10, TRUE, "")</f>
        <v/>
      </c>
      <c r="AP17" s="37" cm="1">
        <f t="array" ref="AP17">_xlfn.IFS(COUNTIF(Table14623578[[#This Row],[Phrases H]],"*H410*"), 10, TRUE, "")</f>
        <v>10</v>
      </c>
      <c r="AQ17" s="37" t="str" cm="1">
        <f t="array" ref="AQ17">_xlfn.IFS(COUNTIF(Table14623578[[#This Row],[Phrases H]],"*H373*"), 5, TRUE, "")</f>
        <v/>
      </c>
      <c r="AR17" s="37" t="str" cm="1">
        <f t="array" ref="AR17">_xlfn.IFS(COUNTIF(Table14623578[[#This Row],[Phrases H]],"*H411*"), 5, TRUE, "")</f>
        <v/>
      </c>
      <c r="AS17" s="57">
        <f t="shared" si="0"/>
        <v>10</v>
      </c>
      <c r="AT17" s="83">
        <v>5.9068735347220702</v>
      </c>
      <c r="AU17" s="61" t="str">
        <f t="shared" si="10"/>
        <v>0</v>
      </c>
      <c r="AV17" s="81">
        <f t="shared" si="1"/>
        <v>10</v>
      </c>
      <c r="AW17" s="69" t="str">
        <f t="shared" si="2"/>
        <v>5</v>
      </c>
      <c r="AX17" s="29"/>
      <c r="AY17" s="78" t="s">
        <v>88</v>
      </c>
      <c r="AZ17" s="15" t="s">
        <v>97</v>
      </c>
      <c r="BA17" s="64">
        <f t="shared" si="11"/>
        <v>0</v>
      </c>
      <c r="BB17" s="65" t="str">
        <f t="shared" si="4"/>
        <v>N/A</v>
      </c>
      <c r="BC17" s="68" t="str">
        <f t="shared" si="5"/>
        <v>E</v>
      </c>
      <c r="BD17" s="35"/>
      <c r="BE17" s="74" t="s">
        <v>1538</v>
      </c>
      <c r="BF17" s="87">
        <v>2</v>
      </c>
      <c r="BG17" s="74" t="s">
        <v>1538</v>
      </c>
      <c r="BH17" s="88">
        <v>2</v>
      </c>
      <c r="BI17" s="69" t="s">
        <v>131</v>
      </c>
      <c r="BK17" s="71" t="str">
        <f t="shared" si="6"/>
        <v>Catégorie 5EOUI</v>
      </c>
      <c r="BM17" s="44" t="s">
        <v>88</v>
      </c>
      <c r="BO17" s="72" t="str">
        <f t="shared" si="12"/>
        <v/>
      </c>
      <c r="BP17" s="73" t="str">
        <f t="shared" si="8"/>
        <v/>
      </c>
      <c r="BQ17" s="181" t="str">
        <f t="shared" si="9"/>
        <v/>
      </c>
      <c r="BR17" s="70"/>
      <c r="BS17" s="221" t="s">
        <v>85</v>
      </c>
    </row>
    <row r="18" spans="1:71" s="27" customFormat="1" ht="30" customHeight="1" thickBot="1" x14ac:dyDescent="0.6">
      <c r="A18" s="227">
        <v>17</v>
      </c>
      <c r="B18" s="224" t="s">
        <v>2108</v>
      </c>
      <c r="C18" s="223" t="s">
        <v>2302</v>
      </c>
      <c r="D18" s="223" t="s">
        <v>2303</v>
      </c>
      <c r="E18" s="223" t="s">
        <v>2304</v>
      </c>
      <c r="F18" s="228" t="s">
        <v>2305</v>
      </c>
      <c r="G18" s="51" t="s">
        <v>2189</v>
      </c>
      <c r="H18" s="51" t="s">
        <v>2306</v>
      </c>
      <c r="I18" s="51" t="s">
        <v>2204</v>
      </c>
      <c r="J18" s="51" t="s">
        <v>2205</v>
      </c>
      <c r="K18" s="52" t="s">
        <v>88</v>
      </c>
      <c r="L18" s="52"/>
      <c r="M18" s="52" t="s">
        <v>85</v>
      </c>
      <c r="N18" s="52"/>
      <c r="O18" s="52"/>
      <c r="P18" s="52"/>
      <c r="Q18" s="52"/>
      <c r="R18" s="52"/>
      <c r="S18" s="52" t="s">
        <v>88</v>
      </c>
      <c r="T18" s="52"/>
      <c r="U18" s="52" t="s">
        <v>2307</v>
      </c>
      <c r="V18" s="52" t="s">
        <v>122</v>
      </c>
      <c r="W18" s="52" t="s">
        <v>2308</v>
      </c>
      <c r="X18" s="52" t="s">
        <v>2309</v>
      </c>
      <c r="Y18" s="52" t="s">
        <v>2310</v>
      </c>
      <c r="Z18" s="52" t="s">
        <v>2311</v>
      </c>
      <c r="AA18" s="50"/>
      <c r="AB18" s="173">
        <f>LOG(924000)</f>
        <v>5.9656719712201065</v>
      </c>
      <c r="AC18" s="52" t="s">
        <v>2312</v>
      </c>
      <c r="AD18" s="52" t="s">
        <v>2313</v>
      </c>
      <c r="AE18" s="53"/>
      <c r="AF18" s="40" t="str" cm="1">
        <f t="array" ref="AF18">_xlfn.IFS(COUNTIF(Table14623578[[#This Row],[PBT/ vPvB]],"*X*"), 20, TRUE, "")</f>
        <v/>
      </c>
      <c r="AG18" s="41" t="str" cm="1">
        <f t="array" ref="AG18">_xlfn.IFS(COUNTIF(Table14623578[[#This Row],[Perturbateur Endocrinien]],"*X*"), 20, TRUE, "")</f>
        <v/>
      </c>
      <c r="AH18" s="41" t="str" cm="1">
        <f t="array" ref="AH18">_xlfn.IFS(COUNTIF(Table14623578[[#This Row],[Phrases H]],"*H350*"), 20, TRUE, "")</f>
        <v/>
      </c>
      <c r="AI18" s="41" t="str" cm="1">
        <f t="array" ref="AI18">_xlfn.IFS(COUNTIF(Table14623578[[#This Row],[Phrases H]],"*H360*"), 20, TRUE, "")</f>
        <v/>
      </c>
      <c r="AJ18" s="41" t="str" cm="1">
        <f t="array" ref="AJ18">_xlfn.IFS(COUNTIF(Table14623578[[#This Row],[Phrases H]],"*H340*"), 20, TRUE, "")</f>
        <v/>
      </c>
      <c r="AK18" s="41" t="str" cm="1">
        <f t="array" ref="AK18">_xlfn.IFS(COUNTIF(Table14623578[[#This Row],[Phrases H]],"*H351*"), 10, TRUE, "")</f>
        <v/>
      </c>
      <c r="AL18" s="41" t="str" cm="1">
        <f t="array" ref="AL18">_xlfn.IFS(COUNTIF(Table14623578[[#This Row],[Phrases H]],"*H361*"), 10, TRUE, "")</f>
        <v/>
      </c>
      <c r="AM18" s="41" t="str" cm="1">
        <f t="array" ref="AM18">_xlfn.IFS(COUNTIF(Table14623578[[#This Row],[Phrases H]],"*H362*"), 10, TRUE, "")</f>
        <v/>
      </c>
      <c r="AN18" s="41" t="str" cm="1">
        <f t="array" ref="AN18">_xlfn.IFS(COUNTIF(Table14623578[[#This Row],[Phrases H]],"*H341*"), 10, TRUE, "")</f>
        <v/>
      </c>
      <c r="AO18" s="41" t="str" cm="1">
        <f t="array" ref="AO18">_xlfn.IFS(COUNTIF(Table14623578[[#This Row],[Phrases H]],"*H372*"), 10, TRUE, "")</f>
        <v/>
      </c>
      <c r="AP18" s="41" t="str" cm="1">
        <f t="array" ref="AP18">_xlfn.IFS(COUNTIF(Table14623578[[#This Row],[Phrases H]],"*H410*"), 10, TRUE, "")</f>
        <v/>
      </c>
      <c r="AQ18" s="41" t="str" cm="1">
        <f t="array" ref="AQ18">_xlfn.IFS(COUNTIF(Table14623578[[#This Row],[Phrases H]],"*H373*"), 5, TRUE, "")</f>
        <v/>
      </c>
      <c r="AR18" s="41" cm="1">
        <f t="array" ref="AR18">_xlfn.IFS(COUNTIF(Table14623578[[#This Row],[Phrases H]],"*H411*"), 5, TRUE, "")</f>
        <v>5</v>
      </c>
      <c r="AS18" s="58">
        <f t="shared" si="0"/>
        <v>5</v>
      </c>
      <c r="AT18" s="84">
        <v>5.9656719712201065</v>
      </c>
      <c r="AU18" s="61" t="str">
        <f t="shared" si="10"/>
        <v>0</v>
      </c>
      <c r="AV18" s="81">
        <f t="shared" si="1"/>
        <v>5</v>
      </c>
      <c r="AW18" s="69" t="str">
        <f t="shared" si="2"/>
        <v>5</v>
      </c>
      <c r="AX18" s="29"/>
      <c r="AY18" s="79" t="s">
        <v>88</v>
      </c>
      <c r="AZ18" s="16" t="s">
        <v>97</v>
      </c>
      <c r="BA18" s="66">
        <f t="shared" si="11"/>
        <v>0</v>
      </c>
      <c r="BB18" s="67" t="str">
        <f t="shared" si="4"/>
        <v>N/A</v>
      </c>
      <c r="BC18" s="68" t="str">
        <f t="shared" si="5"/>
        <v>E</v>
      </c>
      <c r="BD18" s="54"/>
      <c r="BE18" s="74" t="s">
        <v>1538</v>
      </c>
      <c r="BF18" s="93">
        <v>2</v>
      </c>
      <c r="BG18" s="74" t="s">
        <v>1539</v>
      </c>
      <c r="BH18" s="89">
        <v>1</v>
      </c>
      <c r="BI18" s="69" t="s">
        <v>131</v>
      </c>
      <c r="BK18" s="71" t="str">
        <f t="shared" si="6"/>
        <v>Catégorie 5EOUI</v>
      </c>
      <c r="BM18" s="44" t="s">
        <v>150</v>
      </c>
      <c r="BO18" s="72" t="str">
        <f t="shared" si="12"/>
        <v/>
      </c>
      <c r="BP18" s="73" t="str">
        <f t="shared" si="8"/>
        <v/>
      </c>
      <c r="BQ18" s="181" t="str">
        <f t="shared" si="9"/>
        <v>X</v>
      </c>
      <c r="BR18" s="70"/>
      <c r="BS18" s="221" t="s">
        <v>85</v>
      </c>
    </row>
    <row r="19" spans="1:71" s="27" customFormat="1" ht="88.5" customHeight="1" thickBot="1" x14ac:dyDescent="0.6">
      <c r="A19" s="227">
        <v>1</v>
      </c>
      <c r="B19" s="224" t="s">
        <v>2314</v>
      </c>
      <c r="C19" s="223" t="s">
        <v>2315</v>
      </c>
      <c r="D19" s="225" t="s">
        <v>2316</v>
      </c>
      <c r="E19" s="225" t="s">
        <v>2317</v>
      </c>
      <c r="F19" s="229" t="s">
        <v>2318</v>
      </c>
      <c r="G19" s="47" t="s">
        <v>2319</v>
      </c>
      <c r="H19" s="47" t="s">
        <v>2320</v>
      </c>
      <c r="I19" s="47" t="s">
        <v>2321</v>
      </c>
      <c r="J19" s="45"/>
      <c r="K19" s="47" t="s">
        <v>88</v>
      </c>
      <c r="L19" s="47" t="s">
        <v>85</v>
      </c>
      <c r="M19" s="47"/>
      <c r="N19" s="47"/>
      <c r="O19" s="47"/>
      <c r="P19" s="47"/>
      <c r="Q19" s="47"/>
      <c r="R19" s="47" t="s">
        <v>85</v>
      </c>
      <c r="S19" s="47" t="s">
        <v>88</v>
      </c>
      <c r="T19" s="47"/>
      <c r="U19" s="47" t="s">
        <v>2322</v>
      </c>
      <c r="V19" s="47" t="s">
        <v>173</v>
      </c>
      <c r="W19" s="171" t="s">
        <v>2323</v>
      </c>
      <c r="X19" s="47" t="s">
        <v>2324</v>
      </c>
      <c r="Y19" s="171" t="s">
        <v>2325</v>
      </c>
      <c r="Z19" s="47">
        <v>5.62</v>
      </c>
      <c r="AA19" s="45"/>
      <c r="AB19" s="47">
        <v>4.6100000000000003</v>
      </c>
      <c r="AC19" s="171" t="s">
        <v>2326</v>
      </c>
      <c r="AD19" s="47" t="s">
        <v>2327</v>
      </c>
      <c r="AE19" s="48"/>
      <c r="AF19" s="33" cm="1">
        <f t="array" ref="AF19">_xlfn.IFS(COUNTIF(Table14623578[[#This Row],[PBT/ vPvB]],"*X*"), 20, TRUE, "")</f>
        <v>20</v>
      </c>
      <c r="AG19" s="34" t="str" cm="1">
        <f t="array" ref="AG19">_xlfn.IFS(COUNTIF(Table14623578[[#This Row],[Perturbateur Endocrinien]],"*X*"), 20, TRUE, "")</f>
        <v/>
      </c>
      <c r="AH19" s="34" t="str" cm="1">
        <f t="array" ref="AH19">_xlfn.IFS(COUNTIF(Table14623578[[#This Row],[Phrases H]],"*H350*"), 20, TRUE, "")</f>
        <v/>
      </c>
      <c r="AI19" s="34" t="str" cm="1">
        <f t="array" ref="AI19">_xlfn.IFS(COUNTIF(Table14623578[[#This Row],[Phrases H]],"*H360*"), 20, TRUE, "")</f>
        <v/>
      </c>
      <c r="AJ19" s="34" t="str" cm="1">
        <f t="array" ref="AJ19">_xlfn.IFS(COUNTIF(Table14623578[[#This Row],[Phrases H]],"*H340*"), 20, TRUE, "")</f>
        <v/>
      </c>
      <c r="AK19" s="34" t="str" cm="1">
        <f t="array" ref="AK19">_xlfn.IFS(COUNTIF(Table14623578[[#This Row],[Phrases H]],"*H351*"), 10, TRUE, "")</f>
        <v/>
      </c>
      <c r="AL19" s="34" t="str" cm="1">
        <f t="array" ref="AL19">_xlfn.IFS(COUNTIF(Table14623578[[#This Row],[Phrases H]],"*H361*"), 10, TRUE, "")</f>
        <v/>
      </c>
      <c r="AM19" s="34" t="str" cm="1">
        <f t="array" ref="AM19">_xlfn.IFS(COUNTIF(Table14623578[[#This Row],[Phrases H]],"*H362*"), 10, TRUE, "")</f>
        <v/>
      </c>
      <c r="AN19" s="34" t="str" cm="1">
        <f t="array" ref="AN19">_xlfn.IFS(COUNTIF(Table14623578[[#This Row],[Phrases H]],"*H341*"), 10, TRUE, "")</f>
        <v/>
      </c>
      <c r="AO19" s="34" t="str" cm="1">
        <f t="array" ref="AO19">_xlfn.IFS(COUNTIF(Table14623578[[#This Row],[Phrases H]],"*H372*"), 10, TRUE, "")</f>
        <v/>
      </c>
      <c r="AP19" s="34" cm="1">
        <f t="array" ref="AP19">_xlfn.IFS(COUNTIF(Table14623578[[#This Row],[Phrases H]],"*H410*"), 10, TRUE, "")</f>
        <v>10</v>
      </c>
      <c r="AQ19" s="34" cm="1">
        <f t="array" ref="AQ19">_xlfn.IFS(COUNTIF(Table14623578[[#This Row],[Phrases H]],"*H373*"), 5, TRUE, "")</f>
        <v>5</v>
      </c>
      <c r="AR19" s="34" t="str" cm="1">
        <f t="array" ref="AR19">_xlfn.IFS(COUNTIF(Table14623578[[#This Row],[Phrases H]],"*H411*"), 5, TRUE, "")</f>
        <v/>
      </c>
      <c r="AS19" s="56">
        <f t="shared" si="0"/>
        <v>35</v>
      </c>
      <c r="AT19" s="82">
        <v>4.6100000000000003</v>
      </c>
      <c r="AU19" s="61" t="str">
        <f t="shared" si="10"/>
        <v>0</v>
      </c>
      <c r="AV19" s="81">
        <f t="shared" si="1"/>
        <v>35</v>
      </c>
      <c r="AW19" s="69" t="str">
        <f t="shared" si="2"/>
        <v>3</v>
      </c>
      <c r="AX19" s="29"/>
      <c r="AY19" s="77" t="s">
        <v>88</v>
      </c>
      <c r="AZ19" s="25" t="s">
        <v>97</v>
      </c>
      <c r="BA19" s="62">
        <f t="shared" si="11"/>
        <v>0</v>
      </c>
      <c r="BB19" s="63" t="str">
        <f t="shared" si="4"/>
        <v>N/A</v>
      </c>
      <c r="BC19" s="68" t="str">
        <f t="shared" si="5"/>
        <v>E</v>
      </c>
      <c r="BD19" s="49"/>
      <c r="BE19" s="76" t="s">
        <v>2328</v>
      </c>
      <c r="BF19" s="90">
        <v>6</v>
      </c>
      <c r="BG19" s="76" t="s">
        <v>2328</v>
      </c>
      <c r="BH19" s="91">
        <v>6</v>
      </c>
      <c r="BI19" s="69" t="s">
        <v>131</v>
      </c>
      <c r="BK19" s="71" t="str">
        <f t="shared" si="6"/>
        <v>Catégorie 3EOUI</v>
      </c>
      <c r="BM19" s="43" t="s">
        <v>164</v>
      </c>
      <c r="BO19" s="72" t="str">
        <f t="shared" ref="BO19:BO23" si="13">IF(OR(AW19="1", AW19="2",AW19="3"), "X", "")</f>
        <v>X</v>
      </c>
      <c r="BP19" s="73" t="str">
        <f t="shared" si="8"/>
        <v/>
      </c>
      <c r="BQ19" s="181" t="str">
        <f t="shared" si="9"/>
        <v>X</v>
      </c>
      <c r="BR19" s="70"/>
      <c r="BS19" s="221" t="s">
        <v>85</v>
      </c>
    </row>
    <row r="20" spans="1:71" s="27" customFormat="1" ht="92.5" customHeight="1" thickBot="1" x14ac:dyDescent="0.6">
      <c r="A20" s="227">
        <v>2</v>
      </c>
      <c r="B20" s="224" t="s">
        <v>2314</v>
      </c>
      <c r="C20" s="223" t="s">
        <v>2329</v>
      </c>
      <c r="D20" s="225" t="s">
        <v>2330</v>
      </c>
      <c r="E20" s="225" t="s">
        <v>2331</v>
      </c>
      <c r="F20" s="229" t="s">
        <v>2332</v>
      </c>
      <c r="G20" s="21" t="s">
        <v>2333</v>
      </c>
      <c r="H20" s="21" t="s">
        <v>2334</v>
      </c>
      <c r="I20" s="21" t="s">
        <v>2321</v>
      </c>
      <c r="J20" s="11"/>
      <c r="K20" s="21" t="s">
        <v>88</v>
      </c>
      <c r="L20" s="21" t="s">
        <v>85</v>
      </c>
      <c r="M20" s="21"/>
      <c r="N20" s="21"/>
      <c r="O20" s="21"/>
      <c r="P20" s="21"/>
      <c r="Q20" s="21"/>
      <c r="R20" s="21" t="s">
        <v>85</v>
      </c>
      <c r="S20" s="21" t="s">
        <v>88</v>
      </c>
      <c r="T20" s="21"/>
      <c r="U20" s="21" t="s">
        <v>2322</v>
      </c>
      <c r="V20" s="21" t="s">
        <v>173</v>
      </c>
      <c r="W20" s="21" t="s">
        <v>2335</v>
      </c>
      <c r="X20" s="21" t="s">
        <v>2336</v>
      </c>
      <c r="Y20" s="23" t="s">
        <v>2337</v>
      </c>
      <c r="Z20" s="21">
        <v>5.72</v>
      </c>
      <c r="AA20" s="11"/>
      <c r="AB20" s="21">
        <v>5.25</v>
      </c>
      <c r="AC20" s="23" t="s">
        <v>2338</v>
      </c>
      <c r="AD20" s="21" t="s">
        <v>2339</v>
      </c>
      <c r="AE20" s="26"/>
      <c r="AF20" s="36" cm="1">
        <f t="array" ref="AF20">_xlfn.IFS(COUNTIF(Table14623578[[#This Row],[PBT/ vPvB]],"*X*"), 20, TRUE, "")</f>
        <v>20</v>
      </c>
      <c r="AG20" s="37" t="str" cm="1">
        <f t="array" ref="AG20">_xlfn.IFS(COUNTIF(Table14623578[[#This Row],[Perturbateur Endocrinien]],"*X*"), 20, TRUE, "")</f>
        <v/>
      </c>
      <c r="AH20" s="37" t="str" cm="1">
        <f t="array" ref="AH20">_xlfn.IFS(COUNTIF(Table14623578[[#This Row],[Phrases H]],"*H350*"), 20, TRUE, "")</f>
        <v/>
      </c>
      <c r="AI20" s="37" t="str" cm="1">
        <f t="array" ref="AI20">_xlfn.IFS(COUNTIF(Table14623578[[#This Row],[Phrases H]],"*H360*"), 20, TRUE, "")</f>
        <v/>
      </c>
      <c r="AJ20" s="37" t="str" cm="1">
        <f t="array" ref="AJ20">_xlfn.IFS(COUNTIF(Table14623578[[#This Row],[Phrases H]],"*H340*"), 20, TRUE, "")</f>
        <v/>
      </c>
      <c r="AK20" s="37" t="str" cm="1">
        <f t="array" ref="AK20">_xlfn.IFS(COUNTIF(Table14623578[[#This Row],[Phrases H]],"*H351*"), 10, TRUE, "")</f>
        <v/>
      </c>
      <c r="AL20" s="37" t="str" cm="1">
        <f t="array" ref="AL20">_xlfn.IFS(COUNTIF(Table14623578[[#This Row],[Phrases H]],"*H361*"), 10, TRUE, "")</f>
        <v/>
      </c>
      <c r="AM20" s="37" t="str" cm="1">
        <f t="array" ref="AM20">_xlfn.IFS(COUNTIF(Table14623578[[#This Row],[Phrases H]],"*H362*"), 10, TRUE, "")</f>
        <v/>
      </c>
      <c r="AN20" s="37" t="str" cm="1">
        <f t="array" ref="AN20">_xlfn.IFS(COUNTIF(Table14623578[[#This Row],[Phrases H]],"*H341*"), 10, TRUE, "")</f>
        <v/>
      </c>
      <c r="AO20" s="37" t="str" cm="1">
        <f t="array" ref="AO20">_xlfn.IFS(COUNTIF(Table14623578[[#This Row],[Phrases H]],"*H372*"), 10, TRUE, "")</f>
        <v/>
      </c>
      <c r="AP20" s="37" cm="1">
        <f t="array" ref="AP20">_xlfn.IFS(COUNTIF(Table14623578[[#This Row],[Phrases H]],"*H410*"), 10, TRUE, "")</f>
        <v>10</v>
      </c>
      <c r="AQ20" s="37" cm="1">
        <f t="array" ref="AQ20">_xlfn.IFS(COUNTIF(Table14623578[[#This Row],[Phrases H]],"*H373*"), 5, TRUE, "")</f>
        <v>5</v>
      </c>
      <c r="AR20" s="37" t="str" cm="1">
        <f t="array" ref="AR20">_xlfn.IFS(COUNTIF(Table14623578[[#This Row],[Phrases H]],"*H411*"), 5, TRUE, "")</f>
        <v/>
      </c>
      <c r="AS20" s="57">
        <f t="shared" si="0"/>
        <v>35</v>
      </c>
      <c r="AT20" s="83">
        <v>5.25</v>
      </c>
      <c r="AU20" s="61" t="str">
        <f t="shared" si="10"/>
        <v>0</v>
      </c>
      <c r="AV20" s="81">
        <f t="shared" si="1"/>
        <v>35</v>
      </c>
      <c r="AW20" s="69" t="str">
        <f t="shared" si="2"/>
        <v>3</v>
      </c>
      <c r="AX20" s="29"/>
      <c r="AY20" s="78" t="s">
        <v>88</v>
      </c>
      <c r="AZ20" s="15" t="s">
        <v>97</v>
      </c>
      <c r="BA20" s="64">
        <f t="shared" si="11"/>
        <v>0</v>
      </c>
      <c r="BB20" s="65" t="str">
        <f t="shared" si="4"/>
        <v>N/A</v>
      </c>
      <c r="BC20" s="68" t="str">
        <f t="shared" si="5"/>
        <v>E</v>
      </c>
      <c r="BD20" s="35"/>
      <c r="BE20" s="74" t="s">
        <v>2328</v>
      </c>
      <c r="BF20" s="90">
        <v>6</v>
      </c>
      <c r="BG20" s="74" t="s">
        <v>2328</v>
      </c>
      <c r="BH20" s="91">
        <v>6</v>
      </c>
      <c r="BI20" s="69" t="s">
        <v>131</v>
      </c>
      <c r="BK20" s="71" t="str">
        <f t="shared" si="6"/>
        <v>Catégorie 3EOUI</v>
      </c>
      <c r="BM20" s="44" t="s">
        <v>164</v>
      </c>
      <c r="BO20" s="72" t="str">
        <f t="shared" si="13"/>
        <v>X</v>
      </c>
      <c r="BP20" s="73" t="str">
        <f t="shared" si="8"/>
        <v/>
      </c>
      <c r="BQ20" s="181" t="str">
        <f t="shared" si="9"/>
        <v>X</v>
      </c>
      <c r="BR20" s="70"/>
      <c r="BS20" s="221" t="s">
        <v>85</v>
      </c>
    </row>
    <row r="21" spans="1:71" s="27" customFormat="1" ht="94" customHeight="1" x14ac:dyDescent="0.55000000000000004">
      <c r="A21" s="227">
        <v>3</v>
      </c>
      <c r="B21" s="224" t="s">
        <v>2314</v>
      </c>
      <c r="C21" s="223" t="s">
        <v>2340</v>
      </c>
      <c r="D21" s="225" t="s">
        <v>2341</v>
      </c>
      <c r="E21" s="225" t="s">
        <v>2342</v>
      </c>
      <c r="F21" s="229" t="s">
        <v>2343</v>
      </c>
      <c r="G21" s="21" t="s">
        <v>2344</v>
      </c>
      <c r="H21" s="21" t="s">
        <v>2345</v>
      </c>
      <c r="I21" s="21" t="s">
        <v>2321</v>
      </c>
      <c r="J21" s="11"/>
      <c r="K21" s="21" t="s">
        <v>88</v>
      </c>
      <c r="L21" s="21" t="s">
        <v>85</v>
      </c>
      <c r="M21" s="21"/>
      <c r="N21" s="21"/>
      <c r="O21" s="21"/>
      <c r="P21" s="21"/>
      <c r="Q21" s="21"/>
      <c r="R21" s="21" t="s">
        <v>85</v>
      </c>
      <c r="S21" s="21" t="s">
        <v>88</v>
      </c>
      <c r="T21" s="21"/>
      <c r="U21" s="21" t="s">
        <v>2322</v>
      </c>
      <c r="V21" s="21" t="s">
        <v>173</v>
      </c>
      <c r="W21" s="21" t="s">
        <v>2346</v>
      </c>
      <c r="X21" s="21" t="s">
        <v>2347</v>
      </c>
      <c r="Y21" s="23" t="s">
        <v>2348</v>
      </c>
      <c r="Z21" s="21">
        <v>6.8</v>
      </c>
      <c r="AA21" s="11"/>
      <c r="AB21" s="21">
        <v>5.14</v>
      </c>
      <c r="AC21" s="23" t="s">
        <v>2349</v>
      </c>
      <c r="AD21" s="21" t="s">
        <v>2350</v>
      </c>
      <c r="AE21" s="26"/>
      <c r="AF21" s="36" cm="1">
        <f t="array" ref="AF21">_xlfn.IFS(COUNTIF(Table14623578[[#This Row],[PBT/ vPvB]],"*X*"), 20, TRUE, "")</f>
        <v>20</v>
      </c>
      <c r="AG21" s="37" t="str" cm="1">
        <f t="array" ref="AG21">_xlfn.IFS(COUNTIF(Table14623578[[#This Row],[Perturbateur Endocrinien]],"*X*"), 20, TRUE, "")</f>
        <v/>
      </c>
      <c r="AH21" s="37" t="str" cm="1">
        <f t="array" ref="AH21">_xlfn.IFS(COUNTIF(Table14623578[[#This Row],[Phrases H]],"*H350*"), 20, TRUE, "")</f>
        <v/>
      </c>
      <c r="AI21" s="37" t="str" cm="1">
        <f t="array" ref="AI21">_xlfn.IFS(COUNTIF(Table14623578[[#This Row],[Phrases H]],"*H360*"), 20, TRUE, "")</f>
        <v/>
      </c>
      <c r="AJ21" s="37" t="str" cm="1">
        <f t="array" ref="AJ21">_xlfn.IFS(COUNTIF(Table14623578[[#This Row],[Phrases H]],"*H340*"), 20, TRUE, "")</f>
        <v/>
      </c>
      <c r="AK21" s="37" t="str" cm="1">
        <f t="array" ref="AK21">_xlfn.IFS(COUNTIF(Table14623578[[#This Row],[Phrases H]],"*H351*"), 10, TRUE, "")</f>
        <v/>
      </c>
      <c r="AL21" s="37" t="str" cm="1">
        <f t="array" ref="AL21">_xlfn.IFS(COUNTIF(Table14623578[[#This Row],[Phrases H]],"*H361*"), 10, TRUE, "")</f>
        <v/>
      </c>
      <c r="AM21" s="37" t="str" cm="1">
        <f t="array" ref="AM21">_xlfn.IFS(COUNTIF(Table14623578[[#This Row],[Phrases H]],"*H362*"), 10, TRUE, "")</f>
        <v/>
      </c>
      <c r="AN21" s="37" t="str" cm="1">
        <f t="array" ref="AN21">_xlfn.IFS(COUNTIF(Table14623578[[#This Row],[Phrases H]],"*H341*"), 10, TRUE, "")</f>
        <v/>
      </c>
      <c r="AO21" s="37" t="str" cm="1">
        <f t="array" ref="AO21">_xlfn.IFS(COUNTIF(Table14623578[[#This Row],[Phrases H]],"*H372*"), 10, TRUE, "")</f>
        <v/>
      </c>
      <c r="AP21" s="37" cm="1">
        <f t="array" ref="AP21">_xlfn.IFS(COUNTIF(Table14623578[[#This Row],[Phrases H]],"*H410*"), 10, TRUE, "")</f>
        <v>10</v>
      </c>
      <c r="AQ21" s="37" cm="1">
        <f t="array" ref="AQ21">_xlfn.IFS(COUNTIF(Table14623578[[#This Row],[Phrases H]],"*H373*"), 5, TRUE, "")</f>
        <v>5</v>
      </c>
      <c r="AR21" s="37" t="str" cm="1">
        <f t="array" ref="AR21">_xlfn.IFS(COUNTIF(Table14623578[[#This Row],[Phrases H]],"*H411*"), 5, TRUE, "")</f>
        <v/>
      </c>
      <c r="AS21" s="57">
        <f t="shared" si="0"/>
        <v>35</v>
      </c>
      <c r="AT21" s="83">
        <v>5.14</v>
      </c>
      <c r="AU21" s="61" t="str">
        <f t="shared" si="10"/>
        <v>0</v>
      </c>
      <c r="AV21" s="81">
        <f t="shared" si="1"/>
        <v>35</v>
      </c>
      <c r="AW21" s="69" t="str">
        <f t="shared" si="2"/>
        <v>3</v>
      </c>
      <c r="AX21" s="29"/>
      <c r="AY21" s="78" t="s">
        <v>88</v>
      </c>
      <c r="AZ21" s="15" t="s">
        <v>97</v>
      </c>
      <c r="BA21" s="64">
        <f t="shared" si="11"/>
        <v>0</v>
      </c>
      <c r="BB21" s="65" t="str">
        <f t="shared" si="4"/>
        <v>N/A</v>
      </c>
      <c r="BC21" s="68" t="str">
        <f t="shared" si="5"/>
        <v>E</v>
      </c>
      <c r="BD21" s="35"/>
      <c r="BE21" s="74" t="s">
        <v>2328</v>
      </c>
      <c r="BF21" s="90">
        <v>6</v>
      </c>
      <c r="BG21" s="74" t="s">
        <v>2328</v>
      </c>
      <c r="BH21" s="91">
        <v>6</v>
      </c>
      <c r="BI21" s="69" t="s">
        <v>131</v>
      </c>
      <c r="BK21" s="71" t="str">
        <f t="shared" si="6"/>
        <v>Catégorie 3EOUI</v>
      </c>
      <c r="BM21" s="44" t="s">
        <v>164</v>
      </c>
      <c r="BO21" s="72" t="str">
        <f t="shared" si="13"/>
        <v>X</v>
      </c>
      <c r="BP21" s="73" t="str">
        <f t="shared" si="8"/>
        <v/>
      </c>
      <c r="BQ21" s="181" t="str">
        <f t="shared" si="9"/>
        <v>X</v>
      </c>
      <c r="BR21" s="70"/>
      <c r="BS21" s="221" t="s">
        <v>85</v>
      </c>
    </row>
    <row r="22" spans="1:71" s="27" customFormat="1" ht="99" customHeight="1" thickBot="1" x14ac:dyDescent="0.6">
      <c r="A22" s="227">
        <v>4</v>
      </c>
      <c r="B22" s="224" t="s">
        <v>2314</v>
      </c>
      <c r="C22" s="223" t="s">
        <v>2351</v>
      </c>
      <c r="D22" s="225" t="s">
        <v>2352</v>
      </c>
      <c r="E22" s="225" t="s">
        <v>2353</v>
      </c>
      <c r="F22" s="229" t="s">
        <v>2354</v>
      </c>
      <c r="G22" s="21" t="s">
        <v>2344</v>
      </c>
      <c r="H22" s="21" t="s">
        <v>2355</v>
      </c>
      <c r="I22" s="21" t="s">
        <v>2356</v>
      </c>
      <c r="J22" s="11"/>
      <c r="K22" s="21" t="s">
        <v>88</v>
      </c>
      <c r="L22" s="21" t="s">
        <v>85</v>
      </c>
      <c r="M22" s="21"/>
      <c r="N22" s="21"/>
      <c r="O22" s="21"/>
      <c r="P22" s="21"/>
      <c r="Q22" s="21"/>
      <c r="R22" s="21" t="s">
        <v>85</v>
      </c>
      <c r="S22" s="21" t="s">
        <v>88</v>
      </c>
      <c r="T22" s="21"/>
      <c r="U22" s="21" t="s">
        <v>2322</v>
      </c>
      <c r="V22" s="21" t="s">
        <v>173</v>
      </c>
      <c r="W22" s="21" t="s">
        <v>2357</v>
      </c>
      <c r="X22" s="21" t="s">
        <v>2358</v>
      </c>
      <c r="Y22" s="23" t="s">
        <v>2359</v>
      </c>
      <c r="Z22" s="21">
        <v>6.84</v>
      </c>
      <c r="AA22" s="11"/>
      <c r="AB22" s="21">
        <v>5.91</v>
      </c>
      <c r="AC22" s="23" t="s">
        <v>2360</v>
      </c>
      <c r="AD22" s="21" t="s">
        <v>2361</v>
      </c>
      <c r="AE22" s="26"/>
      <c r="AF22" s="36" cm="1">
        <f t="array" ref="AF22">_xlfn.IFS(COUNTIF(Table14623578[[#This Row],[PBT/ vPvB]],"*X*"), 20, TRUE, "")</f>
        <v>20</v>
      </c>
      <c r="AG22" s="37" t="str" cm="1">
        <f t="array" ref="AG22">_xlfn.IFS(COUNTIF(Table14623578[[#This Row],[Perturbateur Endocrinien]],"*X*"), 20, TRUE, "")</f>
        <v/>
      </c>
      <c r="AH22" s="37" t="str" cm="1">
        <f t="array" ref="AH22">_xlfn.IFS(COUNTIF(Table14623578[[#This Row],[Phrases H]],"*H350*"), 20, TRUE, "")</f>
        <v/>
      </c>
      <c r="AI22" s="37" t="str" cm="1">
        <f t="array" ref="AI22">_xlfn.IFS(COUNTIF(Table14623578[[#This Row],[Phrases H]],"*H360*"), 20, TRUE, "")</f>
        <v/>
      </c>
      <c r="AJ22" s="37" t="str" cm="1">
        <f t="array" ref="AJ22">_xlfn.IFS(COUNTIF(Table14623578[[#This Row],[Phrases H]],"*H340*"), 20, TRUE, "")</f>
        <v/>
      </c>
      <c r="AK22" s="37" t="str" cm="1">
        <f t="array" ref="AK22">_xlfn.IFS(COUNTIF(Table14623578[[#This Row],[Phrases H]],"*H351*"), 10, TRUE, "")</f>
        <v/>
      </c>
      <c r="AL22" s="37" t="str" cm="1">
        <f t="array" ref="AL22">_xlfn.IFS(COUNTIF(Table14623578[[#This Row],[Phrases H]],"*H361*"), 10, TRUE, "")</f>
        <v/>
      </c>
      <c r="AM22" s="37" t="str" cm="1">
        <f t="array" ref="AM22">_xlfn.IFS(COUNTIF(Table14623578[[#This Row],[Phrases H]],"*H362*"), 10, TRUE, "")</f>
        <v/>
      </c>
      <c r="AN22" s="37" t="str" cm="1">
        <f t="array" ref="AN22">_xlfn.IFS(COUNTIF(Table14623578[[#This Row],[Phrases H]],"*H341*"), 10, TRUE, "")</f>
        <v/>
      </c>
      <c r="AO22" s="37" t="str" cm="1">
        <f t="array" ref="AO22">_xlfn.IFS(COUNTIF(Table14623578[[#This Row],[Phrases H]],"*H372*"), 10, TRUE, "")</f>
        <v/>
      </c>
      <c r="AP22" s="37" cm="1">
        <f t="array" ref="AP22">_xlfn.IFS(COUNTIF(Table14623578[[#This Row],[Phrases H]],"*H410*"), 10, TRUE, "")</f>
        <v>10</v>
      </c>
      <c r="AQ22" s="37" cm="1">
        <f t="array" ref="AQ22">_xlfn.IFS(COUNTIF(Table14623578[[#This Row],[Phrases H]],"*H373*"), 5, TRUE, "")</f>
        <v>5</v>
      </c>
      <c r="AR22" s="37" t="str" cm="1">
        <f t="array" ref="AR22">_xlfn.IFS(COUNTIF(Table14623578[[#This Row],[Phrases H]],"*H411*"), 5, TRUE, "")</f>
        <v/>
      </c>
      <c r="AS22" s="57">
        <f t="shared" si="0"/>
        <v>35</v>
      </c>
      <c r="AT22" s="83">
        <v>5.91</v>
      </c>
      <c r="AU22" s="61" t="str">
        <f t="shared" si="10"/>
        <v>0</v>
      </c>
      <c r="AV22" s="81">
        <f t="shared" si="1"/>
        <v>35</v>
      </c>
      <c r="AW22" s="69" t="str">
        <f t="shared" si="2"/>
        <v>3</v>
      </c>
      <c r="AX22" s="29"/>
      <c r="AY22" s="78" t="s">
        <v>88</v>
      </c>
      <c r="AZ22" s="15" t="s">
        <v>97</v>
      </c>
      <c r="BA22" s="64">
        <f t="shared" si="11"/>
        <v>0</v>
      </c>
      <c r="BB22" s="65" t="str">
        <f t="shared" si="4"/>
        <v>N/A</v>
      </c>
      <c r="BC22" s="68" t="str">
        <f t="shared" si="5"/>
        <v>E</v>
      </c>
      <c r="BD22" s="35"/>
      <c r="BE22" s="74" t="s">
        <v>2328</v>
      </c>
      <c r="BF22" s="87">
        <v>5</v>
      </c>
      <c r="BG22" s="74" t="s">
        <v>2362</v>
      </c>
      <c r="BH22" s="88">
        <v>5</v>
      </c>
      <c r="BI22" s="69" t="s">
        <v>131</v>
      </c>
      <c r="BK22" s="71" t="str">
        <f t="shared" si="6"/>
        <v>Catégorie 3EOUI</v>
      </c>
      <c r="BM22" s="44" t="s">
        <v>88</v>
      </c>
      <c r="BO22" s="72" t="str">
        <f t="shared" si="13"/>
        <v>X</v>
      </c>
      <c r="BP22" s="73" t="str">
        <f t="shared" si="8"/>
        <v/>
      </c>
      <c r="BQ22" s="181" t="str">
        <f t="shared" si="9"/>
        <v>X</v>
      </c>
      <c r="BR22" s="70"/>
      <c r="BS22" s="221" t="s">
        <v>85</v>
      </c>
    </row>
    <row r="23" spans="1:71" s="27" customFormat="1" ht="98.15" customHeight="1" thickBot="1" x14ac:dyDescent="0.6">
      <c r="A23" s="227">
        <v>5</v>
      </c>
      <c r="B23" s="224" t="s">
        <v>2314</v>
      </c>
      <c r="C23" s="223" t="s">
        <v>2363</v>
      </c>
      <c r="D23" s="225" t="s">
        <v>2364</v>
      </c>
      <c r="E23" s="225" t="s">
        <v>2365</v>
      </c>
      <c r="F23" s="229" t="s">
        <v>2366</v>
      </c>
      <c r="G23" s="21" t="s">
        <v>2367</v>
      </c>
      <c r="H23" s="21" t="s">
        <v>2368</v>
      </c>
      <c r="I23" s="21" t="s">
        <v>2321</v>
      </c>
      <c r="J23" s="11"/>
      <c r="K23" s="21" t="s">
        <v>88</v>
      </c>
      <c r="L23" s="21" t="s">
        <v>85</v>
      </c>
      <c r="M23" s="21"/>
      <c r="N23" s="21"/>
      <c r="O23" s="21"/>
      <c r="P23" s="21"/>
      <c r="Q23" s="21"/>
      <c r="R23" s="21" t="s">
        <v>85</v>
      </c>
      <c r="S23" s="21" t="s">
        <v>88</v>
      </c>
      <c r="T23" s="21"/>
      <c r="U23" s="21" t="s">
        <v>2322</v>
      </c>
      <c r="V23" s="21" t="s">
        <v>173</v>
      </c>
      <c r="W23" s="21" t="s">
        <v>2369</v>
      </c>
      <c r="X23" s="21" t="s">
        <v>2370</v>
      </c>
      <c r="Y23" s="23" t="s">
        <v>2371</v>
      </c>
      <c r="Z23" s="21">
        <v>7.25</v>
      </c>
      <c r="AA23" s="11"/>
      <c r="AB23" s="21">
        <v>6.44</v>
      </c>
      <c r="AC23" s="23" t="s">
        <v>2372</v>
      </c>
      <c r="AD23" s="21" t="s">
        <v>2373</v>
      </c>
      <c r="AE23" s="26"/>
      <c r="AF23" s="36" cm="1">
        <f t="array" ref="AF23">_xlfn.IFS(COUNTIF(Table14623578[[#This Row],[PBT/ vPvB]],"*X*"), 20, TRUE, "")</f>
        <v>20</v>
      </c>
      <c r="AG23" s="37" t="str" cm="1">
        <f t="array" ref="AG23">_xlfn.IFS(COUNTIF(Table14623578[[#This Row],[Perturbateur Endocrinien]],"*X*"), 20, TRUE, "")</f>
        <v/>
      </c>
      <c r="AH23" s="37" t="str" cm="1">
        <f t="array" ref="AH23">_xlfn.IFS(COUNTIF(Table14623578[[#This Row],[Phrases H]],"*H350*"), 20, TRUE, "")</f>
        <v/>
      </c>
      <c r="AI23" s="37" t="str" cm="1">
        <f t="array" ref="AI23">_xlfn.IFS(COUNTIF(Table14623578[[#This Row],[Phrases H]],"*H360*"), 20, TRUE, "")</f>
        <v/>
      </c>
      <c r="AJ23" s="37" t="str" cm="1">
        <f t="array" ref="AJ23">_xlfn.IFS(COUNTIF(Table14623578[[#This Row],[Phrases H]],"*H340*"), 20, TRUE, "")</f>
        <v/>
      </c>
      <c r="AK23" s="37" t="str" cm="1">
        <f t="array" ref="AK23">_xlfn.IFS(COUNTIF(Table14623578[[#This Row],[Phrases H]],"*H351*"), 10, TRUE, "")</f>
        <v/>
      </c>
      <c r="AL23" s="37" t="str" cm="1">
        <f t="array" ref="AL23">_xlfn.IFS(COUNTIF(Table14623578[[#This Row],[Phrases H]],"*H361*"), 10, TRUE, "")</f>
        <v/>
      </c>
      <c r="AM23" s="37" t="str" cm="1">
        <f t="array" ref="AM23">_xlfn.IFS(COUNTIF(Table14623578[[#This Row],[Phrases H]],"*H362*"), 10, TRUE, "")</f>
        <v/>
      </c>
      <c r="AN23" s="37" t="str" cm="1">
        <f t="array" ref="AN23">_xlfn.IFS(COUNTIF(Table14623578[[#This Row],[Phrases H]],"*H341*"), 10, TRUE, "")</f>
        <v/>
      </c>
      <c r="AO23" s="37" t="str" cm="1">
        <f t="array" ref="AO23">_xlfn.IFS(COUNTIF(Table14623578[[#This Row],[Phrases H]],"*H372*"), 10, TRUE, "")</f>
        <v/>
      </c>
      <c r="AP23" s="37" cm="1">
        <f t="array" ref="AP23">_xlfn.IFS(COUNTIF(Table14623578[[#This Row],[Phrases H]],"*H410*"), 10, TRUE, "")</f>
        <v>10</v>
      </c>
      <c r="AQ23" s="37" cm="1">
        <f t="array" ref="AQ23">_xlfn.IFS(COUNTIF(Table14623578[[#This Row],[Phrases H]],"*H373*"), 5, TRUE, "")</f>
        <v>5</v>
      </c>
      <c r="AR23" s="37" t="str" cm="1">
        <f t="array" ref="AR23">_xlfn.IFS(COUNTIF(Table14623578[[#This Row],[Phrases H]],"*H411*"), 5, TRUE, "")</f>
        <v/>
      </c>
      <c r="AS23" s="57">
        <f t="shared" si="0"/>
        <v>35</v>
      </c>
      <c r="AT23" s="83">
        <v>6.44</v>
      </c>
      <c r="AU23" s="61" t="str">
        <f t="shared" si="10"/>
        <v>0</v>
      </c>
      <c r="AV23" s="81">
        <f t="shared" si="1"/>
        <v>35</v>
      </c>
      <c r="AW23" s="69" t="str">
        <f t="shared" si="2"/>
        <v>3</v>
      </c>
      <c r="AX23" s="29"/>
      <c r="AY23" s="78" t="s">
        <v>88</v>
      </c>
      <c r="AZ23" s="15" t="s">
        <v>97</v>
      </c>
      <c r="BA23" s="64">
        <f t="shared" si="11"/>
        <v>0</v>
      </c>
      <c r="BB23" s="65" t="str">
        <f t="shared" si="4"/>
        <v>N/A</v>
      </c>
      <c r="BC23" s="68" t="str">
        <f t="shared" si="5"/>
        <v>E</v>
      </c>
      <c r="BD23" s="35"/>
      <c r="BE23" s="74" t="s">
        <v>2328</v>
      </c>
      <c r="BF23" s="90">
        <v>6</v>
      </c>
      <c r="BG23" s="74" t="s">
        <v>2328</v>
      </c>
      <c r="BH23" s="91">
        <v>6</v>
      </c>
      <c r="BI23" s="69" t="s">
        <v>131</v>
      </c>
      <c r="BK23" s="71" t="str">
        <f t="shared" si="6"/>
        <v>Catégorie 3EOUI</v>
      </c>
      <c r="BM23" s="44" t="s">
        <v>164</v>
      </c>
      <c r="BO23" s="72" t="str">
        <f t="shared" si="13"/>
        <v>X</v>
      </c>
      <c r="BP23" s="73" t="str">
        <f t="shared" si="8"/>
        <v/>
      </c>
      <c r="BQ23" s="181" t="str">
        <f t="shared" si="9"/>
        <v/>
      </c>
      <c r="BR23" s="70"/>
      <c r="BS23" s="221" t="s">
        <v>85</v>
      </c>
    </row>
    <row r="24" spans="1:71" s="27" customFormat="1" ht="93.65" customHeight="1" thickBot="1" x14ac:dyDescent="0.6">
      <c r="A24" s="227">
        <v>6</v>
      </c>
      <c r="B24" s="224" t="s">
        <v>2314</v>
      </c>
      <c r="C24" s="223" t="s">
        <v>2374</v>
      </c>
      <c r="D24" s="225" t="s">
        <v>2375</v>
      </c>
      <c r="E24" s="225" t="s">
        <v>2376</v>
      </c>
      <c r="F24" s="229" t="s">
        <v>2377</v>
      </c>
      <c r="G24" s="21" t="s">
        <v>2367</v>
      </c>
      <c r="H24" s="21" t="s">
        <v>2378</v>
      </c>
      <c r="I24" s="21" t="s">
        <v>2321</v>
      </c>
      <c r="J24" s="11"/>
      <c r="K24" s="21" t="s">
        <v>88</v>
      </c>
      <c r="L24" s="21"/>
      <c r="M24" s="21"/>
      <c r="N24" s="21"/>
      <c r="O24" s="21"/>
      <c r="P24" s="21"/>
      <c r="Q24" s="21"/>
      <c r="R24" s="21"/>
      <c r="S24" s="21" t="s">
        <v>88</v>
      </c>
      <c r="T24" s="21"/>
      <c r="U24" s="21" t="s">
        <v>2322</v>
      </c>
      <c r="V24" s="21" t="s">
        <v>173</v>
      </c>
      <c r="W24" s="21" t="s">
        <v>2379</v>
      </c>
      <c r="X24" s="21" t="s">
        <v>2380</v>
      </c>
      <c r="Y24" s="23" t="s">
        <v>2381</v>
      </c>
      <c r="Z24" s="21">
        <v>7.02</v>
      </c>
      <c r="AA24" s="11"/>
      <c r="AB24" s="21">
        <v>6.34</v>
      </c>
      <c r="AC24" s="23" t="s">
        <v>2382</v>
      </c>
      <c r="AD24" s="21" t="s">
        <v>2383</v>
      </c>
      <c r="AE24" s="26"/>
      <c r="AF24" s="36" t="str" cm="1">
        <f t="array" ref="AF24">_xlfn.IFS(COUNTIF(Table14623578[[#This Row],[PBT/ vPvB]],"*X*"), 20, TRUE, "")</f>
        <v/>
      </c>
      <c r="AG24" s="37" t="str" cm="1">
        <f t="array" ref="AG24">_xlfn.IFS(COUNTIF(Table14623578[[#This Row],[Perturbateur Endocrinien]],"*X*"), 20, TRUE, "")</f>
        <v/>
      </c>
      <c r="AH24" s="37" t="str" cm="1">
        <f t="array" ref="AH24">_xlfn.IFS(COUNTIF(Table14623578[[#This Row],[Phrases H]],"*H350*"), 20, TRUE, "")</f>
        <v/>
      </c>
      <c r="AI24" s="37" t="str" cm="1">
        <f t="array" ref="AI24">_xlfn.IFS(COUNTIF(Table14623578[[#This Row],[Phrases H]],"*H360*"), 20, TRUE, "")</f>
        <v/>
      </c>
      <c r="AJ24" s="37" t="str" cm="1">
        <f t="array" ref="AJ24">_xlfn.IFS(COUNTIF(Table14623578[[#This Row],[Phrases H]],"*H340*"), 20, TRUE, "")</f>
        <v/>
      </c>
      <c r="AK24" s="37" t="str" cm="1">
        <f t="array" ref="AK24">_xlfn.IFS(COUNTIF(Table14623578[[#This Row],[Phrases H]],"*H351*"), 10, TRUE, "")</f>
        <v/>
      </c>
      <c r="AL24" s="37" t="str" cm="1">
        <f t="array" ref="AL24">_xlfn.IFS(COUNTIF(Table14623578[[#This Row],[Phrases H]],"*H361*"), 10, TRUE, "")</f>
        <v/>
      </c>
      <c r="AM24" s="37" t="str" cm="1">
        <f t="array" ref="AM24">_xlfn.IFS(COUNTIF(Table14623578[[#This Row],[Phrases H]],"*H362*"), 10, TRUE, "")</f>
        <v/>
      </c>
      <c r="AN24" s="37" t="str" cm="1">
        <f t="array" ref="AN24">_xlfn.IFS(COUNTIF(Table14623578[[#This Row],[Phrases H]],"*H341*"), 10, TRUE, "")</f>
        <v/>
      </c>
      <c r="AO24" s="37" t="str" cm="1">
        <f t="array" ref="AO24">_xlfn.IFS(COUNTIF(Table14623578[[#This Row],[Phrases H]],"*H372*"), 10, TRUE, "")</f>
        <v/>
      </c>
      <c r="AP24" s="37" cm="1">
        <f t="array" ref="AP24">_xlfn.IFS(COUNTIF(Table14623578[[#This Row],[Phrases H]],"*H410*"), 10, TRUE, "")</f>
        <v>10</v>
      </c>
      <c r="AQ24" s="37" cm="1">
        <f t="array" ref="AQ24">_xlfn.IFS(COUNTIF(Table14623578[[#This Row],[Phrases H]],"*H373*"), 5, TRUE, "")</f>
        <v>5</v>
      </c>
      <c r="AR24" s="37" t="str" cm="1">
        <f t="array" ref="AR24">_xlfn.IFS(COUNTIF(Table14623578[[#This Row],[Phrases H]],"*H411*"), 5, TRUE, "")</f>
        <v/>
      </c>
      <c r="AS24" s="57">
        <f t="shared" si="0"/>
        <v>15</v>
      </c>
      <c r="AT24" s="83">
        <v>6.34</v>
      </c>
      <c r="AU24" s="61" t="str">
        <f t="shared" si="10"/>
        <v>0</v>
      </c>
      <c r="AV24" s="81">
        <f t="shared" si="1"/>
        <v>15</v>
      </c>
      <c r="AW24" s="69" t="str">
        <f t="shared" si="2"/>
        <v>5</v>
      </c>
      <c r="AX24" s="29"/>
      <c r="AY24" s="78" t="s">
        <v>88</v>
      </c>
      <c r="AZ24" s="15" t="s">
        <v>97</v>
      </c>
      <c r="BA24" s="64">
        <f t="shared" si="11"/>
        <v>0</v>
      </c>
      <c r="BB24" s="65" t="str">
        <f t="shared" si="4"/>
        <v>N/A</v>
      </c>
      <c r="BC24" s="68" t="str">
        <f t="shared" si="5"/>
        <v>E</v>
      </c>
      <c r="BD24" s="35"/>
      <c r="BE24" s="74" t="s">
        <v>2328</v>
      </c>
      <c r="BF24" s="90">
        <v>6</v>
      </c>
      <c r="BG24" s="74" t="s">
        <v>2328</v>
      </c>
      <c r="BH24" s="91">
        <v>6</v>
      </c>
      <c r="BI24" s="69" t="s">
        <v>131</v>
      </c>
      <c r="BK24" s="71" t="str">
        <f t="shared" si="6"/>
        <v>Catégorie 5EOUI</v>
      </c>
      <c r="BM24" s="44" t="s">
        <v>164</v>
      </c>
      <c r="BO24" s="72" t="str">
        <f>IF(OR(AW24="1", AW24="2"), "X", "")</f>
        <v/>
      </c>
      <c r="BP24" s="73" t="str">
        <f t="shared" si="8"/>
        <v/>
      </c>
      <c r="BQ24" s="181" t="str">
        <f t="shared" si="9"/>
        <v>X</v>
      </c>
      <c r="BR24" s="70"/>
      <c r="BS24" s="221" t="s">
        <v>85</v>
      </c>
    </row>
    <row r="25" spans="1:71" s="27" customFormat="1" ht="96" customHeight="1" x14ac:dyDescent="0.55000000000000004">
      <c r="A25" s="227">
        <v>7</v>
      </c>
      <c r="B25" s="224" t="s">
        <v>2314</v>
      </c>
      <c r="C25" s="223" t="s">
        <v>2384</v>
      </c>
      <c r="D25" s="225" t="s">
        <v>2385</v>
      </c>
      <c r="E25" s="225" t="s">
        <v>2386</v>
      </c>
      <c r="F25" s="229" t="s">
        <v>2387</v>
      </c>
      <c r="G25" s="21" t="s">
        <v>2388</v>
      </c>
      <c r="H25" s="21" t="s">
        <v>2389</v>
      </c>
      <c r="I25" s="21" t="s">
        <v>2321</v>
      </c>
      <c r="J25" s="11"/>
      <c r="K25" s="21" t="s">
        <v>88</v>
      </c>
      <c r="L25" s="21" t="s">
        <v>85</v>
      </c>
      <c r="M25" s="21"/>
      <c r="N25" s="21"/>
      <c r="O25" s="21"/>
      <c r="P25" s="21"/>
      <c r="Q25" s="21"/>
      <c r="R25" s="21" t="s">
        <v>85</v>
      </c>
      <c r="S25" s="21" t="s">
        <v>88</v>
      </c>
      <c r="T25" s="21"/>
      <c r="U25" s="21" t="s">
        <v>2322</v>
      </c>
      <c r="V25" s="21" t="s">
        <v>173</v>
      </c>
      <c r="W25" s="21" t="s">
        <v>2390</v>
      </c>
      <c r="X25" s="21" t="s">
        <v>2391</v>
      </c>
      <c r="Y25" s="23" t="s">
        <v>2392</v>
      </c>
      <c r="Z25" s="21">
        <v>7.1</v>
      </c>
      <c r="AA25" s="11"/>
      <c r="AB25" s="21">
        <v>6.67</v>
      </c>
      <c r="AC25" s="23" t="s">
        <v>2393</v>
      </c>
      <c r="AD25" s="21" t="s">
        <v>2394</v>
      </c>
      <c r="AE25" s="26"/>
      <c r="AF25" s="36" cm="1">
        <f t="array" ref="AF25">_xlfn.IFS(COUNTIF(Table14623578[[#This Row],[PBT/ vPvB]],"*X*"), 20, TRUE, "")</f>
        <v>20</v>
      </c>
      <c r="AG25" s="37" t="str" cm="1">
        <f t="array" ref="AG25">_xlfn.IFS(COUNTIF(Table14623578[[#This Row],[Perturbateur Endocrinien]],"*X*"), 20, TRUE, "")</f>
        <v/>
      </c>
      <c r="AH25" s="37" t="str" cm="1">
        <f t="array" ref="AH25">_xlfn.IFS(COUNTIF(Table14623578[[#This Row],[Phrases H]],"*H350*"), 20, TRUE, "")</f>
        <v/>
      </c>
      <c r="AI25" s="37" t="str" cm="1">
        <f t="array" ref="AI25">_xlfn.IFS(COUNTIF(Table14623578[[#This Row],[Phrases H]],"*H360*"), 20, TRUE, "")</f>
        <v/>
      </c>
      <c r="AJ25" s="37" t="str" cm="1">
        <f t="array" ref="AJ25">_xlfn.IFS(COUNTIF(Table14623578[[#This Row],[Phrases H]],"*H340*"), 20, TRUE, "")</f>
        <v/>
      </c>
      <c r="AK25" s="37" t="str" cm="1">
        <f t="array" ref="AK25">_xlfn.IFS(COUNTIF(Table14623578[[#This Row],[Phrases H]],"*H351*"), 10, TRUE, "")</f>
        <v/>
      </c>
      <c r="AL25" s="37" t="str" cm="1">
        <f t="array" ref="AL25">_xlfn.IFS(COUNTIF(Table14623578[[#This Row],[Phrases H]],"*H361*"), 10, TRUE, "")</f>
        <v/>
      </c>
      <c r="AM25" s="37" t="str" cm="1">
        <f t="array" ref="AM25">_xlfn.IFS(COUNTIF(Table14623578[[#This Row],[Phrases H]],"*H362*"), 10, TRUE, "")</f>
        <v/>
      </c>
      <c r="AN25" s="37" t="str" cm="1">
        <f t="array" ref="AN25">_xlfn.IFS(COUNTIF(Table14623578[[#This Row],[Phrases H]],"*H341*"), 10, TRUE, "")</f>
        <v/>
      </c>
      <c r="AO25" s="37" t="str" cm="1">
        <f t="array" ref="AO25">_xlfn.IFS(COUNTIF(Table14623578[[#This Row],[Phrases H]],"*H372*"), 10, TRUE, "")</f>
        <v/>
      </c>
      <c r="AP25" s="37" cm="1">
        <f t="array" ref="AP25">_xlfn.IFS(COUNTIF(Table14623578[[#This Row],[Phrases H]],"*H410*"), 10, TRUE, "")</f>
        <v>10</v>
      </c>
      <c r="AQ25" s="37" cm="1">
        <f t="array" ref="AQ25">_xlfn.IFS(COUNTIF(Table14623578[[#This Row],[Phrases H]],"*H373*"), 5, TRUE, "")</f>
        <v>5</v>
      </c>
      <c r="AR25" s="37" t="str" cm="1">
        <f t="array" ref="AR25">_xlfn.IFS(COUNTIF(Table14623578[[#This Row],[Phrases H]],"*H411*"), 5, TRUE, "")</f>
        <v/>
      </c>
      <c r="AS25" s="57">
        <f t="shared" si="0"/>
        <v>35</v>
      </c>
      <c r="AT25" s="83">
        <v>6.67</v>
      </c>
      <c r="AU25" s="61" t="str">
        <f t="shared" si="10"/>
        <v>0</v>
      </c>
      <c r="AV25" s="81">
        <f t="shared" si="1"/>
        <v>35</v>
      </c>
      <c r="AW25" s="69" t="str">
        <f t="shared" si="2"/>
        <v>3</v>
      </c>
      <c r="AX25" s="29"/>
      <c r="AY25" s="78" t="s">
        <v>88</v>
      </c>
      <c r="AZ25" s="15" t="s">
        <v>97</v>
      </c>
      <c r="BA25" s="64">
        <f t="shared" si="11"/>
        <v>0</v>
      </c>
      <c r="BB25" s="65" t="str">
        <f t="shared" si="4"/>
        <v>N/A</v>
      </c>
      <c r="BC25" s="68" t="str">
        <f t="shared" si="5"/>
        <v>E</v>
      </c>
      <c r="BD25" s="35"/>
      <c r="BE25" s="74" t="s">
        <v>2328</v>
      </c>
      <c r="BF25" s="90">
        <v>6</v>
      </c>
      <c r="BG25" s="74" t="s">
        <v>2328</v>
      </c>
      <c r="BH25" s="91">
        <v>6</v>
      </c>
      <c r="BI25" s="69" t="s">
        <v>131</v>
      </c>
      <c r="BK25" s="71" t="str">
        <f t="shared" si="6"/>
        <v>Catégorie 3EOUI</v>
      </c>
      <c r="BM25" s="44" t="s">
        <v>1466</v>
      </c>
      <c r="BO25" s="72" t="str">
        <f t="shared" ref="BO25:BO26" si="14">IF(OR(AW25="1", AW25="2",AW25="3"), "X", "")</f>
        <v>X</v>
      </c>
      <c r="BP25" s="73" t="str">
        <f t="shared" si="8"/>
        <v/>
      </c>
      <c r="BQ25" s="181" t="str">
        <f t="shared" si="9"/>
        <v>X</v>
      </c>
      <c r="BR25" s="70"/>
      <c r="BS25" s="221" t="s">
        <v>85</v>
      </c>
    </row>
    <row r="26" spans="1:71" s="27" customFormat="1" ht="68.5" customHeight="1" x14ac:dyDescent="0.55000000000000004">
      <c r="A26" s="227">
        <v>8</v>
      </c>
      <c r="B26" s="224" t="s">
        <v>2314</v>
      </c>
      <c r="C26" s="223" t="s">
        <v>2395</v>
      </c>
      <c r="D26" s="225" t="s">
        <v>2396</v>
      </c>
      <c r="E26" s="225" t="s">
        <v>2397</v>
      </c>
      <c r="F26" s="229" t="s">
        <v>2398</v>
      </c>
      <c r="G26" s="21" t="s">
        <v>2333</v>
      </c>
      <c r="H26" s="21" t="s">
        <v>2399</v>
      </c>
      <c r="I26" s="21" t="s">
        <v>2356</v>
      </c>
      <c r="J26" s="11"/>
      <c r="K26" s="21" t="s">
        <v>88</v>
      </c>
      <c r="L26" s="21" t="s">
        <v>85</v>
      </c>
      <c r="M26" s="21" t="s">
        <v>85</v>
      </c>
      <c r="N26" s="21"/>
      <c r="O26" s="21"/>
      <c r="P26" s="21"/>
      <c r="Q26" s="21"/>
      <c r="R26" s="21" t="s">
        <v>85</v>
      </c>
      <c r="S26" s="21" t="s">
        <v>88</v>
      </c>
      <c r="T26" s="21"/>
      <c r="U26" s="21" t="s">
        <v>2322</v>
      </c>
      <c r="V26" s="21" t="s">
        <v>173</v>
      </c>
      <c r="W26" s="21" t="s">
        <v>2400</v>
      </c>
      <c r="X26" s="21" t="s">
        <v>2401</v>
      </c>
      <c r="Y26" s="21" t="s">
        <v>2402</v>
      </c>
      <c r="Z26" s="21">
        <v>6.63</v>
      </c>
      <c r="AA26" s="11"/>
      <c r="AB26" s="28">
        <f>LOG(69800)</f>
        <v>4.8438554226231609</v>
      </c>
      <c r="AC26" s="21" t="s">
        <v>2403</v>
      </c>
      <c r="AD26" s="21" t="s">
        <v>2404</v>
      </c>
      <c r="AE26" s="26"/>
      <c r="AF26" s="36" cm="1">
        <f t="array" ref="AF26">_xlfn.IFS(COUNTIF(Table14623578[[#This Row],[PBT/ vPvB]],"*X*"), 20, TRUE, "")</f>
        <v>20</v>
      </c>
      <c r="AG26" s="37" t="str" cm="1">
        <f t="array" ref="AG26">_xlfn.IFS(COUNTIF(Table14623578[[#This Row],[Perturbateur Endocrinien]],"*X*"), 20, TRUE, "")</f>
        <v/>
      </c>
      <c r="AH26" s="37" t="str" cm="1">
        <f t="array" ref="AH26">_xlfn.IFS(COUNTIF(Table14623578[[#This Row],[Phrases H]],"*H350*"), 20, TRUE, "")</f>
        <v/>
      </c>
      <c r="AI26" s="37" t="str" cm="1">
        <f t="array" ref="AI26">_xlfn.IFS(COUNTIF(Table14623578[[#This Row],[Phrases H]],"*H360*"), 20, TRUE, "")</f>
        <v/>
      </c>
      <c r="AJ26" s="37" t="str" cm="1">
        <f t="array" ref="AJ26">_xlfn.IFS(COUNTIF(Table14623578[[#This Row],[Phrases H]],"*H340*"), 20, TRUE, "")</f>
        <v/>
      </c>
      <c r="AK26" s="37" t="str" cm="1">
        <f t="array" ref="AK26">_xlfn.IFS(COUNTIF(Table14623578[[#This Row],[Phrases H]],"*H351*"), 10, TRUE, "")</f>
        <v/>
      </c>
      <c r="AL26" s="37" t="str" cm="1">
        <f t="array" ref="AL26">_xlfn.IFS(COUNTIF(Table14623578[[#This Row],[Phrases H]],"*H361*"), 10, TRUE, "")</f>
        <v/>
      </c>
      <c r="AM26" s="37" t="str" cm="1">
        <f t="array" ref="AM26">_xlfn.IFS(COUNTIF(Table14623578[[#This Row],[Phrases H]],"*H362*"), 10, TRUE, "")</f>
        <v/>
      </c>
      <c r="AN26" s="37" t="str" cm="1">
        <f t="array" ref="AN26">_xlfn.IFS(COUNTIF(Table14623578[[#This Row],[Phrases H]],"*H341*"), 10, TRUE, "")</f>
        <v/>
      </c>
      <c r="AO26" s="37" t="str" cm="1">
        <f t="array" ref="AO26">_xlfn.IFS(COUNTIF(Table14623578[[#This Row],[Phrases H]],"*H372*"), 10, TRUE, "")</f>
        <v/>
      </c>
      <c r="AP26" s="37" cm="1">
        <f t="array" ref="AP26">_xlfn.IFS(COUNTIF(Table14623578[[#This Row],[Phrases H]],"*H410*"), 10, TRUE, "")</f>
        <v>10</v>
      </c>
      <c r="AQ26" s="37" cm="1">
        <f t="array" ref="AQ26">_xlfn.IFS(COUNTIF(Table14623578[[#This Row],[Phrases H]],"*H373*"), 5, TRUE, "")</f>
        <v>5</v>
      </c>
      <c r="AR26" s="37" t="str" cm="1">
        <f t="array" ref="AR26">_xlfn.IFS(COUNTIF(Table14623578[[#This Row],[Phrases H]],"*H411*"), 5, TRUE, "")</f>
        <v/>
      </c>
      <c r="AS26" s="57">
        <f t="shared" si="0"/>
        <v>35</v>
      </c>
      <c r="AT26" s="83">
        <v>4.8438554226231609</v>
      </c>
      <c r="AU26" s="61" t="str">
        <f t="shared" si="10"/>
        <v>0</v>
      </c>
      <c r="AV26" s="81">
        <f t="shared" si="1"/>
        <v>35</v>
      </c>
      <c r="AW26" s="69" t="str">
        <f t="shared" si="2"/>
        <v>3</v>
      </c>
      <c r="AX26" s="29"/>
      <c r="AY26" s="78" t="s">
        <v>88</v>
      </c>
      <c r="AZ26" s="15" t="s">
        <v>97</v>
      </c>
      <c r="BA26" s="64">
        <f t="shared" si="11"/>
        <v>0</v>
      </c>
      <c r="BB26" s="65" t="str">
        <f t="shared" si="4"/>
        <v>N/A</v>
      </c>
      <c r="BC26" s="68" t="str">
        <f t="shared" si="5"/>
        <v>E</v>
      </c>
      <c r="BD26" s="35"/>
      <c r="BE26" s="74" t="s">
        <v>2405</v>
      </c>
      <c r="BF26" s="87">
        <v>4</v>
      </c>
      <c r="BG26" s="74" t="s">
        <v>2406</v>
      </c>
      <c r="BH26" s="88">
        <v>3</v>
      </c>
      <c r="BI26" s="69" t="s">
        <v>131</v>
      </c>
      <c r="BK26" s="71" t="str">
        <f t="shared" si="6"/>
        <v>Catégorie 3EOUI</v>
      </c>
      <c r="BM26" s="44" t="s">
        <v>150</v>
      </c>
      <c r="BO26" s="72" t="str">
        <f t="shared" si="14"/>
        <v>X</v>
      </c>
      <c r="BP26" s="73" t="str">
        <f t="shared" si="8"/>
        <v/>
      </c>
      <c r="BQ26" s="181" t="str">
        <f t="shared" si="9"/>
        <v/>
      </c>
      <c r="BR26" s="70"/>
      <c r="BS26" s="221" t="s">
        <v>85</v>
      </c>
    </row>
    <row r="27" spans="1:71" s="27" customFormat="1" ht="65.5" customHeight="1" x14ac:dyDescent="0.55000000000000004">
      <c r="A27" s="227">
        <v>9</v>
      </c>
      <c r="B27" s="224" t="s">
        <v>2314</v>
      </c>
      <c r="C27" s="223" t="s">
        <v>2407</v>
      </c>
      <c r="D27" s="225" t="s">
        <v>2408</v>
      </c>
      <c r="E27" s="225" t="s">
        <v>2409</v>
      </c>
      <c r="F27" s="229" t="s">
        <v>2410</v>
      </c>
      <c r="G27" s="21" t="s">
        <v>2411</v>
      </c>
      <c r="H27" s="21" t="s">
        <v>2412</v>
      </c>
      <c r="I27" s="21" t="s">
        <v>2356</v>
      </c>
      <c r="J27" s="11"/>
      <c r="K27" s="21" t="s">
        <v>88</v>
      </c>
      <c r="L27" s="21"/>
      <c r="M27" s="21" t="s">
        <v>85</v>
      </c>
      <c r="N27" s="21"/>
      <c r="O27" s="21"/>
      <c r="P27" s="21"/>
      <c r="Q27" s="21"/>
      <c r="R27" s="21"/>
      <c r="S27" s="21" t="s">
        <v>88</v>
      </c>
      <c r="T27" s="21"/>
      <c r="U27" s="21" t="s">
        <v>2322</v>
      </c>
      <c r="V27" s="21" t="s">
        <v>173</v>
      </c>
      <c r="W27" s="21" t="s">
        <v>2413</v>
      </c>
      <c r="X27" s="21" t="s">
        <v>2414</v>
      </c>
      <c r="Y27" s="21" t="s">
        <v>2415</v>
      </c>
      <c r="Z27" s="21">
        <v>6.34</v>
      </c>
      <c r="AA27" s="11"/>
      <c r="AB27" s="21">
        <v>4.8899999999999997</v>
      </c>
      <c r="AC27" s="21" t="s">
        <v>2416</v>
      </c>
      <c r="AD27" s="21" t="s">
        <v>2417</v>
      </c>
      <c r="AE27" s="26"/>
      <c r="AF27" s="36" t="str" cm="1">
        <f t="array" ref="AF27">_xlfn.IFS(COUNTIF(Table14623578[[#This Row],[PBT/ vPvB]],"*X*"), 20, TRUE, "")</f>
        <v/>
      </c>
      <c r="AG27" s="37" t="str" cm="1">
        <f t="array" ref="AG27">_xlfn.IFS(COUNTIF(Table14623578[[#This Row],[Perturbateur Endocrinien]],"*X*"), 20, TRUE, "")</f>
        <v/>
      </c>
      <c r="AH27" s="37" t="str" cm="1">
        <f t="array" ref="AH27">_xlfn.IFS(COUNTIF(Table14623578[[#This Row],[Phrases H]],"*H350*"), 20, TRUE, "")</f>
        <v/>
      </c>
      <c r="AI27" s="37" t="str" cm="1">
        <f t="array" ref="AI27">_xlfn.IFS(COUNTIF(Table14623578[[#This Row],[Phrases H]],"*H360*"), 20, TRUE, "")</f>
        <v/>
      </c>
      <c r="AJ27" s="37" t="str" cm="1">
        <f t="array" ref="AJ27">_xlfn.IFS(COUNTIF(Table14623578[[#This Row],[Phrases H]],"*H340*"), 20, TRUE, "")</f>
        <v/>
      </c>
      <c r="AK27" s="37" t="str" cm="1">
        <f t="array" ref="AK27">_xlfn.IFS(COUNTIF(Table14623578[[#This Row],[Phrases H]],"*H351*"), 10, TRUE, "")</f>
        <v/>
      </c>
      <c r="AL27" s="37" t="str" cm="1">
        <f t="array" ref="AL27">_xlfn.IFS(COUNTIF(Table14623578[[#This Row],[Phrases H]],"*H361*"), 10, TRUE, "")</f>
        <v/>
      </c>
      <c r="AM27" s="37" t="str" cm="1">
        <f t="array" ref="AM27">_xlfn.IFS(COUNTIF(Table14623578[[#This Row],[Phrases H]],"*H362*"), 10, TRUE, "")</f>
        <v/>
      </c>
      <c r="AN27" s="37" t="str" cm="1">
        <f t="array" ref="AN27">_xlfn.IFS(COUNTIF(Table14623578[[#This Row],[Phrases H]],"*H341*"), 10, TRUE, "")</f>
        <v/>
      </c>
      <c r="AO27" s="37" t="str" cm="1">
        <f t="array" ref="AO27">_xlfn.IFS(COUNTIF(Table14623578[[#This Row],[Phrases H]],"*H372*"), 10, TRUE, "")</f>
        <v/>
      </c>
      <c r="AP27" s="37" cm="1">
        <f t="array" ref="AP27">_xlfn.IFS(COUNTIF(Table14623578[[#This Row],[Phrases H]],"*H410*"), 10, TRUE, "")</f>
        <v>10</v>
      </c>
      <c r="AQ27" s="37" cm="1">
        <f t="array" ref="AQ27">_xlfn.IFS(COUNTIF(Table14623578[[#This Row],[Phrases H]],"*H373*"), 5, TRUE, "")</f>
        <v>5</v>
      </c>
      <c r="AR27" s="37" t="str" cm="1">
        <f t="array" ref="AR27">_xlfn.IFS(COUNTIF(Table14623578[[#This Row],[Phrases H]],"*H411*"), 5, TRUE, "")</f>
        <v/>
      </c>
      <c r="AS27" s="57">
        <f t="shared" si="0"/>
        <v>15</v>
      </c>
      <c r="AT27" s="83">
        <v>4.8899999999999997</v>
      </c>
      <c r="AU27" s="61" t="str">
        <f t="shared" si="10"/>
        <v>0</v>
      </c>
      <c r="AV27" s="81">
        <f t="shared" si="1"/>
        <v>15</v>
      </c>
      <c r="AW27" s="69" t="str">
        <f t="shared" si="2"/>
        <v>5</v>
      </c>
      <c r="AX27" s="29"/>
      <c r="AY27" s="78" t="s">
        <v>88</v>
      </c>
      <c r="AZ27" s="15" t="s">
        <v>97</v>
      </c>
      <c r="BA27" s="64">
        <f t="shared" si="11"/>
        <v>0</v>
      </c>
      <c r="BB27" s="65" t="str">
        <f t="shared" si="4"/>
        <v>N/A</v>
      </c>
      <c r="BC27" s="68" t="str">
        <f t="shared" si="5"/>
        <v>E</v>
      </c>
      <c r="BD27" s="35"/>
      <c r="BE27" s="74" t="s">
        <v>2405</v>
      </c>
      <c r="BF27" s="87">
        <v>4</v>
      </c>
      <c r="BG27" s="74" t="s">
        <v>2406</v>
      </c>
      <c r="BH27" s="88">
        <v>3</v>
      </c>
      <c r="BI27" s="69" t="s">
        <v>131</v>
      </c>
      <c r="BK27" s="71" t="str">
        <f t="shared" si="6"/>
        <v>Catégorie 5EOUI</v>
      </c>
      <c r="BM27" s="44" t="s">
        <v>150</v>
      </c>
      <c r="BO27" s="72" t="str">
        <f t="shared" ref="BO27:BO36" si="15">IF(OR(AW27="1", AW27="2"), "X", "")</f>
        <v/>
      </c>
      <c r="BP27" s="73" t="str">
        <f t="shared" si="8"/>
        <v/>
      </c>
      <c r="BQ27" s="181" t="str">
        <f t="shared" si="9"/>
        <v/>
      </c>
      <c r="BR27" s="70"/>
      <c r="BS27" s="221" t="s">
        <v>85</v>
      </c>
    </row>
    <row r="28" spans="1:71" s="27" customFormat="1" ht="65.5" customHeight="1" thickBot="1" x14ac:dyDescent="0.6">
      <c r="A28" s="227">
        <v>10</v>
      </c>
      <c r="B28" s="224" t="s">
        <v>2314</v>
      </c>
      <c r="C28" s="223" t="s">
        <v>2418</v>
      </c>
      <c r="D28" s="225" t="s">
        <v>2419</v>
      </c>
      <c r="E28" s="225" t="s">
        <v>2420</v>
      </c>
      <c r="F28" s="229" t="s">
        <v>2421</v>
      </c>
      <c r="G28" s="21" t="s">
        <v>2344</v>
      </c>
      <c r="H28" s="21" t="s">
        <v>2422</v>
      </c>
      <c r="I28" s="21" t="s">
        <v>2356</v>
      </c>
      <c r="J28" s="11"/>
      <c r="K28" s="21" t="s">
        <v>88</v>
      </c>
      <c r="L28" s="21"/>
      <c r="M28" s="21" t="s">
        <v>85</v>
      </c>
      <c r="N28" s="21"/>
      <c r="O28" s="21"/>
      <c r="P28" s="21"/>
      <c r="Q28" s="21"/>
      <c r="R28" s="21"/>
      <c r="S28" s="21" t="s">
        <v>88</v>
      </c>
      <c r="T28" s="21"/>
      <c r="U28" s="21" t="s">
        <v>2423</v>
      </c>
      <c r="V28" s="21" t="s">
        <v>173</v>
      </c>
      <c r="W28" s="21" t="s">
        <v>2424</v>
      </c>
      <c r="X28" s="21" t="s">
        <v>2425</v>
      </c>
      <c r="Y28" s="21" t="s">
        <v>2426</v>
      </c>
      <c r="Z28" s="21">
        <v>6.88</v>
      </c>
      <c r="AA28" s="11"/>
      <c r="AB28" s="28">
        <f>LOG(148000)</f>
        <v>5.1702617153949575</v>
      </c>
      <c r="AC28" s="21" t="s">
        <v>2427</v>
      </c>
      <c r="AD28" s="21" t="s">
        <v>2361</v>
      </c>
      <c r="AE28" s="26"/>
      <c r="AF28" s="36" t="str" cm="1">
        <f t="array" ref="AF28">_xlfn.IFS(COUNTIF(Table14623578[[#This Row],[PBT/ vPvB]],"*X*"), 20, TRUE, "")</f>
        <v/>
      </c>
      <c r="AG28" s="37" t="str" cm="1">
        <f t="array" ref="AG28">_xlfn.IFS(COUNTIF(Table14623578[[#This Row],[Perturbateur Endocrinien]],"*X*"), 20, TRUE, "")</f>
        <v/>
      </c>
      <c r="AH28" s="37" t="str" cm="1">
        <f t="array" ref="AH28">_xlfn.IFS(COUNTIF(Table14623578[[#This Row],[Phrases H]],"*H350*"), 20, TRUE, "")</f>
        <v/>
      </c>
      <c r="AI28" s="37" t="str" cm="1">
        <f t="array" ref="AI28">_xlfn.IFS(COUNTIF(Table14623578[[#This Row],[Phrases H]],"*H360*"), 20, TRUE, "")</f>
        <v/>
      </c>
      <c r="AJ28" s="37" t="str" cm="1">
        <f t="array" ref="AJ28">_xlfn.IFS(COUNTIF(Table14623578[[#This Row],[Phrases H]],"*H340*"), 20, TRUE, "")</f>
        <v/>
      </c>
      <c r="AK28" s="37" t="str" cm="1">
        <f t="array" ref="AK28">_xlfn.IFS(COUNTIF(Table14623578[[#This Row],[Phrases H]],"*H351*"), 10, TRUE, "")</f>
        <v/>
      </c>
      <c r="AL28" s="37" t="str" cm="1">
        <f t="array" ref="AL28">_xlfn.IFS(COUNTIF(Table14623578[[#This Row],[Phrases H]],"*H361*"), 10, TRUE, "")</f>
        <v/>
      </c>
      <c r="AM28" s="37" t="str" cm="1">
        <f t="array" ref="AM28">_xlfn.IFS(COUNTIF(Table14623578[[#This Row],[Phrases H]],"*H362*"), 10, TRUE, "")</f>
        <v/>
      </c>
      <c r="AN28" s="37" t="str" cm="1">
        <f t="array" ref="AN28">_xlfn.IFS(COUNTIF(Table14623578[[#This Row],[Phrases H]],"*H341*"), 10, TRUE, "")</f>
        <v/>
      </c>
      <c r="AO28" s="37" t="str" cm="1">
        <f t="array" ref="AO28">_xlfn.IFS(COUNTIF(Table14623578[[#This Row],[Phrases H]],"*H372*"), 10, TRUE, "")</f>
        <v/>
      </c>
      <c r="AP28" s="37" cm="1">
        <f t="array" ref="AP28">_xlfn.IFS(COUNTIF(Table14623578[[#This Row],[Phrases H]],"*H410*"), 10, TRUE, "")</f>
        <v>10</v>
      </c>
      <c r="AQ28" s="37" cm="1">
        <f t="array" ref="AQ28">_xlfn.IFS(COUNTIF(Table14623578[[#This Row],[Phrases H]],"*H373*"), 5, TRUE, "")</f>
        <v>5</v>
      </c>
      <c r="AR28" s="37" t="str" cm="1">
        <f t="array" ref="AR28">_xlfn.IFS(COUNTIF(Table14623578[[#This Row],[Phrases H]],"*H411*"), 5, TRUE, "")</f>
        <v/>
      </c>
      <c r="AS28" s="57">
        <f t="shared" si="0"/>
        <v>15</v>
      </c>
      <c r="AT28" s="83">
        <v>5.1702617153949575</v>
      </c>
      <c r="AU28" s="61" t="str">
        <f t="shared" si="10"/>
        <v>0</v>
      </c>
      <c r="AV28" s="81">
        <f t="shared" si="1"/>
        <v>15</v>
      </c>
      <c r="AW28" s="69" t="str">
        <f t="shared" si="2"/>
        <v>5</v>
      </c>
      <c r="AX28" s="29"/>
      <c r="AY28" s="78" t="s">
        <v>88</v>
      </c>
      <c r="AZ28" s="15" t="s">
        <v>97</v>
      </c>
      <c r="BA28" s="64">
        <f t="shared" si="11"/>
        <v>0</v>
      </c>
      <c r="BB28" s="65" t="str">
        <f t="shared" si="4"/>
        <v>N/A</v>
      </c>
      <c r="BC28" s="68" t="str">
        <f t="shared" si="5"/>
        <v>E</v>
      </c>
      <c r="BD28" s="35"/>
      <c r="BE28" s="75" t="s">
        <v>2405</v>
      </c>
      <c r="BF28" s="93">
        <v>4</v>
      </c>
      <c r="BG28" s="75" t="s">
        <v>2405</v>
      </c>
      <c r="BH28" s="88">
        <v>3</v>
      </c>
      <c r="BI28" s="69" t="s">
        <v>131</v>
      </c>
      <c r="BK28" s="71" t="str">
        <f t="shared" si="6"/>
        <v>Catégorie 5EOUI</v>
      </c>
      <c r="BM28" s="44" t="s">
        <v>150</v>
      </c>
      <c r="BO28" s="72" t="str">
        <f t="shared" si="15"/>
        <v/>
      </c>
      <c r="BP28" s="73" t="str">
        <f t="shared" si="8"/>
        <v/>
      </c>
      <c r="BQ28" s="181" t="str">
        <f t="shared" si="9"/>
        <v/>
      </c>
      <c r="BR28" s="70"/>
      <c r="BS28" s="221" t="s">
        <v>85</v>
      </c>
    </row>
    <row r="29" spans="1:71" s="27" customFormat="1" ht="72.650000000000006" customHeight="1" thickBot="1" x14ac:dyDescent="0.6">
      <c r="A29" s="227">
        <v>11</v>
      </c>
      <c r="B29" s="224" t="s">
        <v>2314</v>
      </c>
      <c r="C29" s="223" t="s">
        <v>2428</v>
      </c>
      <c r="D29" s="225" t="s">
        <v>2429</v>
      </c>
      <c r="E29" s="225" t="s">
        <v>2430</v>
      </c>
      <c r="F29" s="229" t="s">
        <v>2431</v>
      </c>
      <c r="G29" s="21" t="s">
        <v>2344</v>
      </c>
      <c r="H29" s="21" t="s">
        <v>2432</v>
      </c>
      <c r="I29" s="21" t="s">
        <v>2356</v>
      </c>
      <c r="J29" s="11"/>
      <c r="K29" s="21" t="s">
        <v>88</v>
      </c>
      <c r="L29" s="21"/>
      <c r="M29" s="21" t="s">
        <v>85</v>
      </c>
      <c r="N29" s="21"/>
      <c r="O29" s="21"/>
      <c r="P29" s="21"/>
      <c r="Q29" s="21"/>
      <c r="R29" s="21"/>
      <c r="S29" s="21" t="s">
        <v>88</v>
      </c>
      <c r="T29" s="21"/>
      <c r="U29" s="21" t="s">
        <v>2322</v>
      </c>
      <c r="V29" s="21" t="s">
        <v>173</v>
      </c>
      <c r="W29" s="21" t="s">
        <v>2433</v>
      </c>
      <c r="X29" s="21" t="s">
        <v>2434</v>
      </c>
      <c r="Y29" s="174" t="s">
        <v>2435</v>
      </c>
      <c r="Z29" s="21" t="s">
        <v>2436</v>
      </c>
      <c r="AA29" s="11"/>
      <c r="AB29" s="21">
        <v>5.12</v>
      </c>
      <c r="AC29" s="21" t="s">
        <v>2437</v>
      </c>
      <c r="AD29" s="21" t="s">
        <v>2361</v>
      </c>
      <c r="AE29" s="26"/>
      <c r="AF29" s="36" t="str" cm="1">
        <f t="array" ref="AF29">_xlfn.IFS(COUNTIF(Table14623578[[#This Row],[PBT/ vPvB]],"*X*"), 20, TRUE, "")</f>
        <v/>
      </c>
      <c r="AG29" s="37" t="str" cm="1">
        <f t="array" ref="AG29">_xlfn.IFS(COUNTIF(Table14623578[[#This Row],[Perturbateur Endocrinien]],"*X*"), 20, TRUE, "")</f>
        <v/>
      </c>
      <c r="AH29" s="37" t="str" cm="1">
        <f t="array" ref="AH29">_xlfn.IFS(COUNTIF(Table14623578[[#This Row],[Phrases H]],"*H350*"), 20, TRUE, "")</f>
        <v/>
      </c>
      <c r="AI29" s="37" t="str" cm="1">
        <f t="array" ref="AI29">_xlfn.IFS(COUNTIF(Table14623578[[#This Row],[Phrases H]],"*H360*"), 20, TRUE, "")</f>
        <v/>
      </c>
      <c r="AJ29" s="37" t="str" cm="1">
        <f t="array" ref="AJ29">_xlfn.IFS(COUNTIF(Table14623578[[#This Row],[Phrases H]],"*H340*"), 20, TRUE, "")</f>
        <v/>
      </c>
      <c r="AK29" s="37" t="str" cm="1">
        <f t="array" ref="AK29">_xlfn.IFS(COUNTIF(Table14623578[[#This Row],[Phrases H]],"*H351*"), 10, TRUE, "")</f>
        <v/>
      </c>
      <c r="AL29" s="37" t="str" cm="1">
        <f t="array" ref="AL29">_xlfn.IFS(COUNTIF(Table14623578[[#This Row],[Phrases H]],"*H361*"), 10, TRUE, "")</f>
        <v/>
      </c>
      <c r="AM29" s="37" t="str" cm="1">
        <f t="array" ref="AM29">_xlfn.IFS(COUNTIF(Table14623578[[#This Row],[Phrases H]],"*H362*"), 10, TRUE, "")</f>
        <v/>
      </c>
      <c r="AN29" s="37" t="str" cm="1">
        <f t="array" ref="AN29">_xlfn.IFS(COUNTIF(Table14623578[[#This Row],[Phrases H]],"*H341*"), 10, TRUE, "")</f>
        <v/>
      </c>
      <c r="AO29" s="37" t="str" cm="1">
        <f t="array" ref="AO29">_xlfn.IFS(COUNTIF(Table14623578[[#This Row],[Phrases H]],"*H372*"), 10, TRUE, "")</f>
        <v/>
      </c>
      <c r="AP29" s="37" cm="1">
        <f t="array" ref="AP29">_xlfn.IFS(COUNTIF(Table14623578[[#This Row],[Phrases H]],"*H410*"), 10, TRUE, "")</f>
        <v>10</v>
      </c>
      <c r="AQ29" s="37" cm="1">
        <f t="array" ref="AQ29">_xlfn.IFS(COUNTIF(Table14623578[[#This Row],[Phrases H]],"*H373*"), 5, TRUE, "")</f>
        <v>5</v>
      </c>
      <c r="AR29" s="37" t="str" cm="1">
        <f t="array" ref="AR29">_xlfn.IFS(COUNTIF(Table14623578[[#This Row],[Phrases H]],"*H411*"), 5, TRUE, "")</f>
        <v/>
      </c>
      <c r="AS29" s="57">
        <f t="shared" si="0"/>
        <v>15</v>
      </c>
      <c r="AT29" s="83">
        <v>5.12</v>
      </c>
      <c r="AU29" s="61" t="str">
        <f t="shared" si="10"/>
        <v>0</v>
      </c>
      <c r="AV29" s="81">
        <f t="shared" si="1"/>
        <v>15</v>
      </c>
      <c r="AW29" s="69" t="str">
        <f t="shared" si="2"/>
        <v>5</v>
      </c>
      <c r="AX29" s="29"/>
      <c r="AY29" s="78" t="s">
        <v>88</v>
      </c>
      <c r="AZ29" s="15" t="s">
        <v>97</v>
      </c>
      <c r="BA29" s="64">
        <f t="shared" si="11"/>
        <v>0</v>
      </c>
      <c r="BB29" s="65" t="str">
        <f t="shared" si="4"/>
        <v>N/A</v>
      </c>
      <c r="BC29" s="68" t="str">
        <f t="shared" si="5"/>
        <v>E</v>
      </c>
      <c r="BD29" s="35"/>
      <c r="BE29" s="75" t="s">
        <v>2405</v>
      </c>
      <c r="BF29" s="93">
        <v>4</v>
      </c>
      <c r="BG29" s="75" t="s">
        <v>2405</v>
      </c>
      <c r="BH29" s="88">
        <v>3</v>
      </c>
      <c r="BI29" s="69" t="s">
        <v>131</v>
      </c>
      <c r="BK29" s="71" t="str">
        <f t="shared" si="6"/>
        <v>Catégorie 5EOUI</v>
      </c>
      <c r="BM29" s="44" t="s">
        <v>1466</v>
      </c>
      <c r="BO29" s="72" t="str">
        <f t="shared" si="15"/>
        <v/>
      </c>
      <c r="BP29" s="73" t="str">
        <f t="shared" si="8"/>
        <v/>
      </c>
      <c r="BQ29" s="181" t="str">
        <f t="shared" si="9"/>
        <v/>
      </c>
      <c r="BR29" s="70"/>
      <c r="BS29" s="221" t="s">
        <v>85</v>
      </c>
    </row>
    <row r="30" spans="1:71" s="27" customFormat="1" ht="64.5" customHeight="1" x14ac:dyDescent="0.55000000000000004">
      <c r="A30" s="227">
        <v>12</v>
      </c>
      <c r="B30" s="224" t="s">
        <v>2314</v>
      </c>
      <c r="C30" s="223" t="s">
        <v>2438</v>
      </c>
      <c r="D30" s="225" t="s">
        <v>2439</v>
      </c>
      <c r="E30" s="225" t="s">
        <v>2440</v>
      </c>
      <c r="F30" s="229" t="s">
        <v>2441</v>
      </c>
      <c r="G30" s="21" t="s">
        <v>2442</v>
      </c>
      <c r="H30" s="21" t="s">
        <v>2443</v>
      </c>
      <c r="I30" s="21" t="s">
        <v>2356</v>
      </c>
      <c r="J30" s="11"/>
      <c r="K30" s="21" t="s">
        <v>88</v>
      </c>
      <c r="L30" s="21"/>
      <c r="M30" s="21" t="s">
        <v>85</v>
      </c>
      <c r="N30" s="21"/>
      <c r="O30" s="21"/>
      <c r="P30" s="21"/>
      <c r="Q30" s="21"/>
      <c r="R30" s="21"/>
      <c r="S30" s="21" t="s">
        <v>88</v>
      </c>
      <c r="T30" s="21"/>
      <c r="U30" s="21" t="s">
        <v>2322</v>
      </c>
      <c r="V30" s="21" t="s">
        <v>173</v>
      </c>
      <c r="W30" s="21" t="s">
        <v>2444</v>
      </c>
      <c r="X30" s="21" t="s">
        <v>2445</v>
      </c>
      <c r="Y30" s="174" t="s">
        <v>2446</v>
      </c>
      <c r="Z30" s="21">
        <v>6.63</v>
      </c>
      <c r="AA30" s="11"/>
      <c r="AB30" s="21">
        <v>5.12</v>
      </c>
      <c r="AC30" s="21" t="s">
        <v>2447</v>
      </c>
      <c r="AD30" s="21" t="s">
        <v>2448</v>
      </c>
      <c r="AE30" s="26"/>
      <c r="AF30" s="36" t="str" cm="1">
        <f t="array" ref="AF30">_xlfn.IFS(COUNTIF(Table14623578[[#This Row],[PBT/ vPvB]],"*X*"), 20, TRUE, "")</f>
        <v/>
      </c>
      <c r="AG30" s="37" t="str" cm="1">
        <f t="array" ref="AG30">_xlfn.IFS(COUNTIF(Table14623578[[#This Row],[Perturbateur Endocrinien]],"*X*"), 20, TRUE, "")</f>
        <v/>
      </c>
      <c r="AH30" s="37" t="str" cm="1">
        <f t="array" ref="AH30">_xlfn.IFS(COUNTIF(Table14623578[[#This Row],[Phrases H]],"*H350*"), 20, TRUE, "")</f>
        <v/>
      </c>
      <c r="AI30" s="37" t="str" cm="1">
        <f t="array" ref="AI30">_xlfn.IFS(COUNTIF(Table14623578[[#This Row],[Phrases H]],"*H360*"), 20, TRUE, "")</f>
        <v/>
      </c>
      <c r="AJ30" s="37" t="str" cm="1">
        <f t="array" ref="AJ30">_xlfn.IFS(COUNTIF(Table14623578[[#This Row],[Phrases H]],"*H340*"), 20, TRUE, "")</f>
        <v/>
      </c>
      <c r="AK30" s="37" t="str" cm="1">
        <f t="array" ref="AK30">_xlfn.IFS(COUNTIF(Table14623578[[#This Row],[Phrases H]],"*H351*"), 10, TRUE, "")</f>
        <v/>
      </c>
      <c r="AL30" s="37" t="str" cm="1">
        <f t="array" ref="AL30">_xlfn.IFS(COUNTIF(Table14623578[[#This Row],[Phrases H]],"*H361*"), 10, TRUE, "")</f>
        <v/>
      </c>
      <c r="AM30" s="37" t="str" cm="1">
        <f t="array" ref="AM30">_xlfn.IFS(COUNTIF(Table14623578[[#This Row],[Phrases H]],"*H362*"), 10, TRUE, "")</f>
        <v/>
      </c>
      <c r="AN30" s="37" t="str" cm="1">
        <f t="array" ref="AN30">_xlfn.IFS(COUNTIF(Table14623578[[#This Row],[Phrases H]],"*H341*"), 10, TRUE, "")</f>
        <v/>
      </c>
      <c r="AO30" s="37" t="str" cm="1">
        <f t="array" ref="AO30">_xlfn.IFS(COUNTIF(Table14623578[[#This Row],[Phrases H]],"*H372*"), 10, TRUE, "")</f>
        <v/>
      </c>
      <c r="AP30" s="37" cm="1">
        <f t="array" ref="AP30">_xlfn.IFS(COUNTIF(Table14623578[[#This Row],[Phrases H]],"*H410*"), 10, TRUE, "")</f>
        <v>10</v>
      </c>
      <c r="AQ30" s="37" cm="1">
        <f t="array" ref="AQ30">_xlfn.IFS(COUNTIF(Table14623578[[#This Row],[Phrases H]],"*H373*"), 5, TRUE, "")</f>
        <v>5</v>
      </c>
      <c r="AR30" s="37" t="str" cm="1">
        <f t="array" ref="AR30">_xlfn.IFS(COUNTIF(Table14623578[[#This Row],[Phrases H]],"*H411*"), 5, TRUE, "")</f>
        <v/>
      </c>
      <c r="AS30" s="57">
        <f t="shared" si="0"/>
        <v>15</v>
      </c>
      <c r="AT30" s="83">
        <v>5.12</v>
      </c>
      <c r="AU30" s="61" t="str">
        <f t="shared" si="10"/>
        <v>0</v>
      </c>
      <c r="AV30" s="81">
        <f t="shared" si="1"/>
        <v>15</v>
      </c>
      <c r="AW30" s="69" t="str">
        <f t="shared" si="2"/>
        <v>5</v>
      </c>
      <c r="AX30" s="29"/>
      <c r="AY30" s="78" t="s">
        <v>88</v>
      </c>
      <c r="AZ30" s="15" t="s">
        <v>97</v>
      </c>
      <c r="BA30" s="64">
        <f t="shared" si="11"/>
        <v>0</v>
      </c>
      <c r="BB30" s="65" t="str">
        <f t="shared" si="4"/>
        <v>N/A</v>
      </c>
      <c r="BC30" s="68" t="str">
        <f t="shared" si="5"/>
        <v>E</v>
      </c>
      <c r="BD30" s="35"/>
      <c r="BE30" s="74" t="s">
        <v>2405</v>
      </c>
      <c r="BF30" s="87">
        <v>3</v>
      </c>
      <c r="BG30" s="74" t="s">
        <v>2406</v>
      </c>
      <c r="BH30" s="88">
        <v>3</v>
      </c>
      <c r="BI30" s="69" t="s">
        <v>131</v>
      </c>
      <c r="BK30" s="71" t="str">
        <f t="shared" si="6"/>
        <v>Catégorie 5EOUI</v>
      </c>
      <c r="BM30" s="44" t="s">
        <v>150</v>
      </c>
      <c r="BO30" s="72" t="str">
        <f t="shared" si="15"/>
        <v/>
      </c>
      <c r="BP30" s="73" t="str">
        <f t="shared" si="8"/>
        <v/>
      </c>
      <c r="BQ30" s="181" t="str">
        <f t="shared" si="9"/>
        <v/>
      </c>
      <c r="BR30" s="70"/>
      <c r="BS30" s="221" t="s">
        <v>85</v>
      </c>
    </row>
    <row r="31" spans="1:71" s="27" customFormat="1" ht="64.5" customHeight="1" x14ac:dyDescent="0.55000000000000004">
      <c r="A31" s="227">
        <v>13</v>
      </c>
      <c r="B31" s="224" t="s">
        <v>2314</v>
      </c>
      <c r="C31" s="223" t="s">
        <v>2449</v>
      </c>
      <c r="D31" s="225" t="s">
        <v>2450</v>
      </c>
      <c r="E31" s="225" t="s">
        <v>2451</v>
      </c>
      <c r="F31" s="229" t="s">
        <v>2452</v>
      </c>
      <c r="G31" s="21" t="s">
        <v>2442</v>
      </c>
      <c r="H31" s="21" t="s">
        <v>2453</v>
      </c>
      <c r="I31" s="21" t="s">
        <v>2356</v>
      </c>
      <c r="J31" s="11"/>
      <c r="K31" s="21" t="s">
        <v>88</v>
      </c>
      <c r="L31" s="21"/>
      <c r="M31" s="21" t="s">
        <v>85</v>
      </c>
      <c r="N31" s="21"/>
      <c r="O31" s="21"/>
      <c r="P31" s="21"/>
      <c r="Q31" s="21"/>
      <c r="R31" s="21"/>
      <c r="S31" s="21" t="s">
        <v>88</v>
      </c>
      <c r="T31" s="21"/>
      <c r="U31" s="21" t="s">
        <v>2322</v>
      </c>
      <c r="V31" s="21" t="s">
        <v>173</v>
      </c>
      <c r="W31" s="21" t="s">
        <v>2454</v>
      </c>
      <c r="X31" s="21" t="s">
        <v>2455</v>
      </c>
      <c r="Y31" s="21" t="s">
        <v>2456</v>
      </c>
      <c r="Z31" s="21">
        <v>7.21</v>
      </c>
      <c r="AA31" s="11"/>
      <c r="AB31" s="28">
        <f>LOG(157000)</f>
        <v>5.195899652409234</v>
      </c>
      <c r="AC31" s="21" t="s">
        <v>2457</v>
      </c>
      <c r="AD31" s="21" t="s">
        <v>2448</v>
      </c>
      <c r="AE31" s="26"/>
      <c r="AF31" s="36" t="str" cm="1">
        <f t="array" ref="AF31">_xlfn.IFS(COUNTIF(Table14623578[[#This Row],[PBT/ vPvB]],"*X*"), 20, TRUE, "")</f>
        <v/>
      </c>
      <c r="AG31" s="37" t="str" cm="1">
        <f t="array" ref="AG31">_xlfn.IFS(COUNTIF(Table14623578[[#This Row],[Perturbateur Endocrinien]],"*X*"), 20, TRUE, "")</f>
        <v/>
      </c>
      <c r="AH31" s="37" t="str" cm="1">
        <f t="array" ref="AH31">_xlfn.IFS(COUNTIF(Table14623578[[#This Row],[Phrases H]],"*H350*"), 20, TRUE, "")</f>
        <v/>
      </c>
      <c r="AI31" s="37" t="str" cm="1">
        <f t="array" ref="AI31">_xlfn.IFS(COUNTIF(Table14623578[[#This Row],[Phrases H]],"*H360*"), 20, TRUE, "")</f>
        <v/>
      </c>
      <c r="AJ31" s="37" t="str" cm="1">
        <f t="array" ref="AJ31">_xlfn.IFS(COUNTIF(Table14623578[[#This Row],[Phrases H]],"*H340*"), 20, TRUE, "")</f>
        <v/>
      </c>
      <c r="AK31" s="37" t="str" cm="1">
        <f t="array" ref="AK31">_xlfn.IFS(COUNTIF(Table14623578[[#This Row],[Phrases H]],"*H351*"), 10, TRUE, "")</f>
        <v/>
      </c>
      <c r="AL31" s="37" t="str" cm="1">
        <f t="array" ref="AL31">_xlfn.IFS(COUNTIF(Table14623578[[#This Row],[Phrases H]],"*H361*"), 10, TRUE, "")</f>
        <v/>
      </c>
      <c r="AM31" s="37" t="str" cm="1">
        <f t="array" ref="AM31">_xlfn.IFS(COUNTIF(Table14623578[[#This Row],[Phrases H]],"*H362*"), 10, TRUE, "")</f>
        <v/>
      </c>
      <c r="AN31" s="37" t="str" cm="1">
        <f t="array" ref="AN31">_xlfn.IFS(COUNTIF(Table14623578[[#This Row],[Phrases H]],"*H341*"), 10, TRUE, "")</f>
        <v/>
      </c>
      <c r="AO31" s="37" t="str" cm="1">
        <f t="array" ref="AO31">_xlfn.IFS(COUNTIF(Table14623578[[#This Row],[Phrases H]],"*H372*"), 10, TRUE, "")</f>
        <v/>
      </c>
      <c r="AP31" s="37" cm="1">
        <f t="array" ref="AP31">_xlfn.IFS(COUNTIF(Table14623578[[#This Row],[Phrases H]],"*H410*"), 10, TRUE, "")</f>
        <v>10</v>
      </c>
      <c r="AQ31" s="37" cm="1">
        <f t="array" ref="AQ31">_xlfn.IFS(COUNTIF(Table14623578[[#This Row],[Phrases H]],"*H373*"), 5, TRUE, "")</f>
        <v>5</v>
      </c>
      <c r="AR31" s="37" t="str" cm="1">
        <f t="array" ref="AR31">_xlfn.IFS(COUNTIF(Table14623578[[#This Row],[Phrases H]],"*H411*"), 5, TRUE, "")</f>
        <v/>
      </c>
      <c r="AS31" s="57">
        <f t="shared" si="0"/>
        <v>15</v>
      </c>
      <c r="AT31" s="83">
        <v>5.195899652409234</v>
      </c>
      <c r="AU31" s="61" t="str">
        <f t="shared" si="10"/>
        <v>0</v>
      </c>
      <c r="AV31" s="81">
        <f t="shared" si="1"/>
        <v>15</v>
      </c>
      <c r="AW31" s="69" t="str">
        <f t="shared" ref="AW31:AW44" si="16">IF(AV31&lt;=17,"5",IF(AV31&lt;=34,"4",IF(AV31&lt;=51,"3",IF(AV31&lt;=68,"2","1"))))</f>
        <v>5</v>
      </c>
      <c r="AX31" s="29"/>
      <c r="AY31" s="78" t="s">
        <v>88</v>
      </c>
      <c r="AZ31" s="15" t="s">
        <v>97</v>
      </c>
      <c r="BA31" s="64">
        <f t="shared" si="11"/>
        <v>0</v>
      </c>
      <c r="BB31" s="65" t="str">
        <f t="shared" si="4"/>
        <v>N/A</v>
      </c>
      <c r="BC31" s="68" t="str">
        <f t="shared" si="5"/>
        <v>E</v>
      </c>
      <c r="BD31" s="35"/>
      <c r="BE31" s="74" t="s">
        <v>2405</v>
      </c>
      <c r="BF31" s="87">
        <v>4</v>
      </c>
      <c r="BG31" s="74" t="s">
        <v>2406</v>
      </c>
      <c r="BH31" s="88">
        <v>3</v>
      </c>
      <c r="BI31" s="69" t="s">
        <v>131</v>
      </c>
      <c r="BK31" s="71" t="str">
        <f t="shared" si="6"/>
        <v>Catégorie 5EOUI</v>
      </c>
      <c r="BM31" s="44" t="s">
        <v>150</v>
      </c>
      <c r="BO31" s="72" t="str">
        <f t="shared" si="15"/>
        <v/>
      </c>
      <c r="BP31" s="73" t="str">
        <f t="shared" si="8"/>
        <v/>
      </c>
      <c r="BQ31" s="181" t="str">
        <f t="shared" si="9"/>
        <v/>
      </c>
      <c r="BR31" s="70"/>
      <c r="BS31" s="221" t="s">
        <v>85</v>
      </c>
    </row>
    <row r="32" spans="1:71" s="27" customFormat="1" ht="71.150000000000006" customHeight="1" thickBot="1" x14ac:dyDescent="0.6">
      <c r="A32" s="227">
        <v>14</v>
      </c>
      <c r="B32" s="224" t="s">
        <v>2314</v>
      </c>
      <c r="C32" s="223" t="s">
        <v>2458</v>
      </c>
      <c r="D32" s="225" t="s">
        <v>2459</v>
      </c>
      <c r="E32" s="225" t="s">
        <v>2460</v>
      </c>
      <c r="F32" s="229" t="s">
        <v>2461</v>
      </c>
      <c r="G32" s="21" t="s">
        <v>2462</v>
      </c>
      <c r="H32" s="21" t="s">
        <v>2463</v>
      </c>
      <c r="I32" s="21" t="s">
        <v>2356</v>
      </c>
      <c r="J32" s="11"/>
      <c r="K32" s="21" t="s">
        <v>88</v>
      </c>
      <c r="L32" s="21"/>
      <c r="M32" s="21"/>
      <c r="N32" s="21"/>
      <c r="O32" s="21"/>
      <c r="P32" s="21"/>
      <c r="Q32" s="21"/>
      <c r="R32" s="21"/>
      <c r="S32" s="21" t="s">
        <v>88</v>
      </c>
      <c r="T32" s="21"/>
      <c r="U32" s="21" t="s">
        <v>2322</v>
      </c>
      <c r="V32" s="21" t="s">
        <v>173</v>
      </c>
      <c r="W32" s="21" t="s">
        <v>2464</v>
      </c>
      <c r="X32" s="21" t="s">
        <v>2465</v>
      </c>
      <c r="Y32" s="21" t="s">
        <v>2466</v>
      </c>
      <c r="Z32" s="21">
        <v>7.33</v>
      </c>
      <c r="AA32" s="11"/>
      <c r="AB32" s="28">
        <f>LOG(417000)</f>
        <v>5.6201360549737576</v>
      </c>
      <c r="AC32" s="21" t="s">
        <v>2467</v>
      </c>
      <c r="AD32" s="21" t="s">
        <v>2468</v>
      </c>
      <c r="AE32" s="26"/>
      <c r="AF32" s="36" t="str" cm="1">
        <f t="array" ref="AF32">_xlfn.IFS(COUNTIF(Table14623578[[#This Row],[PBT/ vPvB]],"*X*"), 20, TRUE, "")</f>
        <v/>
      </c>
      <c r="AG32" s="37" t="str" cm="1">
        <f t="array" ref="AG32">_xlfn.IFS(COUNTIF(Table14623578[[#This Row],[Perturbateur Endocrinien]],"*X*"), 20, TRUE, "")</f>
        <v/>
      </c>
      <c r="AH32" s="37" t="str" cm="1">
        <f t="array" ref="AH32">_xlfn.IFS(COUNTIF(Table14623578[[#This Row],[Phrases H]],"*H350*"), 20, TRUE, "")</f>
        <v/>
      </c>
      <c r="AI32" s="37" t="str" cm="1">
        <f t="array" ref="AI32">_xlfn.IFS(COUNTIF(Table14623578[[#This Row],[Phrases H]],"*H360*"), 20, TRUE, "")</f>
        <v/>
      </c>
      <c r="AJ32" s="37" t="str" cm="1">
        <f t="array" ref="AJ32">_xlfn.IFS(COUNTIF(Table14623578[[#This Row],[Phrases H]],"*H340*"), 20, TRUE, "")</f>
        <v/>
      </c>
      <c r="AK32" s="37" t="str" cm="1">
        <f t="array" ref="AK32">_xlfn.IFS(COUNTIF(Table14623578[[#This Row],[Phrases H]],"*H351*"), 10, TRUE, "")</f>
        <v/>
      </c>
      <c r="AL32" s="37" t="str" cm="1">
        <f t="array" ref="AL32">_xlfn.IFS(COUNTIF(Table14623578[[#This Row],[Phrases H]],"*H361*"), 10, TRUE, "")</f>
        <v/>
      </c>
      <c r="AM32" s="37" t="str" cm="1">
        <f t="array" ref="AM32">_xlfn.IFS(COUNTIF(Table14623578[[#This Row],[Phrases H]],"*H362*"), 10, TRUE, "")</f>
        <v/>
      </c>
      <c r="AN32" s="37" t="str" cm="1">
        <f t="array" ref="AN32">_xlfn.IFS(COUNTIF(Table14623578[[#This Row],[Phrases H]],"*H341*"), 10, TRUE, "")</f>
        <v/>
      </c>
      <c r="AO32" s="37" t="str" cm="1">
        <f t="array" ref="AO32">_xlfn.IFS(COUNTIF(Table14623578[[#This Row],[Phrases H]],"*H372*"), 10, TRUE, "")</f>
        <v/>
      </c>
      <c r="AP32" s="37" cm="1">
        <f t="array" ref="AP32">_xlfn.IFS(COUNTIF(Table14623578[[#This Row],[Phrases H]],"*H410*"), 10, TRUE, "")</f>
        <v>10</v>
      </c>
      <c r="AQ32" s="37" cm="1">
        <f t="array" ref="AQ32">_xlfn.IFS(COUNTIF(Table14623578[[#This Row],[Phrases H]],"*H373*"), 5, TRUE, "")</f>
        <v>5</v>
      </c>
      <c r="AR32" s="37" t="str" cm="1">
        <f t="array" ref="AR32">_xlfn.IFS(COUNTIF(Table14623578[[#This Row],[Phrases H]],"*H411*"), 5, TRUE, "")</f>
        <v/>
      </c>
      <c r="AS32" s="57">
        <f t="shared" si="0"/>
        <v>15</v>
      </c>
      <c r="AT32" s="83">
        <v>5.6201360549737576</v>
      </c>
      <c r="AU32" s="61" t="str">
        <f t="shared" si="10"/>
        <v>0</v>
      </c>
      <c r="AV32" s="81">
        <f t="shared" si="1"/>
        <v>15</v>
      </c>
      <c r="AW32" s="69" t="str">
        <f t="shared" si="16"/>
        <v>5</v>
      </c>
      <c r="AX32" s="29"/>
      <c r="AY32" s="78" t="s">
        <v>88</v>
      </c>
      <c r="AZ32" s="15" t="s">
        <v>97</v>
      </c>
      <c r="BA32" s="64">
        <f t="shared" si="11"/>
        <v>0</v>
      </c>
      <c r="BB32" s="65" t="str">
        <f t="shared" si="4"/>
        <v>N/A</v>
      </c>
      <c r="BC32" s="68" t="str">
        <f t="shared" si="5"/>
        <v>E</v>
      </c>
      <c r="BD32" s="35"/>
      <c r="BE32" s="75" t="s">
        <v>2405</v>
      </c>
      <c r="BF32" s="93">
        <v>4</v>
      </c>
      <c r="BG32" s="75" t="s">
        <v>2405</v>
      </c>
      <c r="BH32" s="88">
        <v>3</v>
      </c>
      <c r="BI32" s="69" t="s">
        <v>131</v>
      </c>
      <c r="BK32" s="71" t="str">
        <f t="shared" si="6"/>
        <v>Catégorie 5EOUI</v>
      </c>
      <c r="BM32" s="44" t="s">
        <v>88</v>
      </c>
      <c r="BO32" s="72" t="str">
        <f t="shared" si="15"/>
        <v/>
      </c>
      <c r="BP32" s="73" t="str">
        <f t="shared" si="8"/>
        <v/>
      </c>
      <c r="BQ32" s="181" t="str">
        <f t="shared" si="9"/>
        <v/>
      </c>
      <c r="BR32" s="70"/>
      <c r="BS32" s="221" t="s">
        <v>85</v>
      </c>
    </row>
    <row r="33" spans="1:71" s="27" customFormat="1" ht="63" customHeight="1" thickBot="1" x14ac:dyDescent="0.6">
      <c r="A33" s="227">
        <v>15</v>
      </c>
      <c r="B33" s="224" t="s">
        <v>2314</v>
      </c>
      <c r="C33" s="223" t="s">
        <v>2469</v>
      </c>
      <c r="D33" s="225" t="s">
        <v>2470</v>
      </c>
      <c r="E33" s="225" t="s">
        <v>2471</v>
      </c>
      <c r="F33" s="229" t="s">
        <v>2472</v>
      </c>
      <c r="G33" s="21" t="s">
        <v>2462</v>
      </c>
      <c r="H33" s="21" t="s">
        <v>2473</v>
      </c>
      <c r="I33" s="21" t="s">
        <v>2356</v>
      </c>
      <c r="J33" s="11"/>
      <c r="K33" s="21" t="s">
        <v>88</v>
      </c>
      <c r="L33" s="21"/>
      <c r="M33" s="21"/>
      <c r="N33" s="21"/>
      <c r="O33" s="21"/>
      <c r="P33" s="21"/>
      <c r="Q33" s="21"/>
      <c r="R33" s="21"/>
      <c r="S33" s="21" t="s">
        <v>88</v>
      </c>
      <c r="T33" s="21"/>
      <c r="U33" s="21" t="s">
        <v>2322</v>
      </c>
      <c r="V33" s="21" t="s">
        <v>173</v>
      </c>
      <c r="W33" s="21" t="s">
        <v>2474</v>
      </c>
      <c r="X33" s="21" t="s">
        <v>2475</v>
      </c>
      <c r="Y33" s="21" t="s">
        <v>2476</v>
      </c>
      <c r="Z33" s="21">
        <v>7.6</v>
      </c>
      <c r="AA33" s="11"/>
      <c r="AB33" s="21">
        <v>5.33</v>
      </c>
      <c r="AC33" s="21" t="s">
        <v>2477</v>
      </c>
      <c r="AD33" s="21" t="s">
        <v>2478</v>
      </c>
      <c r="AE33" s="26"/>
      <c r="AF33" s="36" t="str" cm="1">
        <f t="array" ref="AF33">_xlfn.IFS(COUNTIF(Table14623578[[#This Row],[PBT/ vPvB]],"*X*"), 20, TRUE, "")</f>
        <v/>
      </c>
      <c r="AG33" s="37" t="str" cm="1">
        <f t="array" ref="AG33">_xlfn.IFS(COUNTIF(Table14623578[[#This Row],[Perturbateur Endocrinien]],"*X*"), 20, TRUE, "")</f>
        <v/>
      </c>
      <c r="AH33" s="37" t="str" cm="1">
        <f t="array" ref="AH33">_xlfn.IFS(COUNTIF(Table14623578[[#This Row],[Phrases H]],"*H350*"), 20, TRUE, "")</f>
        <v/>
      </c>
      <c r="AI33" s="37" t="str" cm="1">
        <f t="array" ref="AI33">_xlfn.IFS(COUNTIF(Table14623578[[#This Row],[Phrases H]],"*H360*"), 20, TRUE, "")</f>
        <v/>
      </c>
      <c r="AJ33" s="37" t="str" cm="1">
        <f t="array" ref="AJ33">_xlfn.IFS(COUNTIF(Table14623578[[#This Row],[Phrases H]],"*H340*"), 20, TRUE, "")</f>
        <v/>
      </c>
      <c r="AK33" s="37" t="str" cm="1">
        <f t="array" ref="AK33">_xlfn.IFS(COUNTIF(Table14623578[[#This Row],[Phrases H]],"*H351*"), 10, TRUE, "")</f>
        <v/>
      </c>
      <c r="AL33" s="37" t="str" cm="1">
        <f t="array" ref="AL33">_xlfn.IFS(COUNTIF(Table14623578[[#This Row],[Phrases H]],"*H361*"), 10, TRUE, "")</f>
        <v/>
      </c>
      <c r="AM33" s="37" t="str" cm="1">
        <f t="array" ref="AM33">_xlfn.IFS(COUNTIF(Table14623578[[#This Row],[Phrases H]],"*H362*"), 10, TRUE, "")</f>
        <v/>
      </c>
      <c r="AN33" s="37" t="str" cm="1">
        <f t="array" ref="AN33">_xlfn.IFS(COUNTIF(Table14623578[[#This Row],[Phrases H]],"*H341*"), 10, TRUE, "")</f>
        <v/>
      </c>
      <c r="AO33" s="37" t="str" cm="1">
        <f t="array" ref="AO33">_xlfn.IFS(COUNTIF(Table14623578[[#This Row],[Phrases H]],"*H372*"), 10, TRUE, "")</f>
        <v/>
      </c>
      <c r="AP33" s="37" cm="1">
        <f t="array" ref="AP33">_xlfn.IFS(COUNTIF(Table14623578[[#This Row],[Phrases H]],"*H410*"), 10, TRUE, "")</f>
        <v>10</v>
      </c>
      <c r="AQ33" s="37" cm="1">
        <f t="array" ref="AQ33">_xlfn.IFS(COUNTIF(Table14623578[[#This Row],[Phrases H]],"*H373*"), 5, TRUE, "")</f>
        <v>5</v>
      </c>
      <c r="AR33" s="37" t="str" cm="1">
        <f t="array" ref="AR33">_xlfn.IFS(COUNTIF(Table14623578[[#This Row],[Phrases H]],"*H411*"), 5, TRUE, "")</f>
        <v/>
      </c>
      <c r="AS33" s="57">
        <f t="shared" si="0"/>
        <v>15</v>
      </c>
      <c r="AT33" s="83">
        <v>5.33</v>
      </c>
      <c r="AU33" s="61" t="str">
        <f t="shared" si="10"/>
        <v>0</v>
      </c>
      <c r="AV33" s="81">
        <f t="shared" si="1"/>
        <v>15</v>
      </c>
      <c r="AW33" s="69" t="str">
        <f t="shared" si="16"/>
        <v>5</v>
      </c>
      <c r="AX33" s="29"/>
      <c r="AY33" s="78" t="s">
        <v>88</v>
      </c>
      <c r="AZ33" s="15" t="s">
        <v>97</v>
      </c>
      <c r="BA33" s="64">
        <f t="shared" si="11"/>
        <v>0</v>
      </c>
      <c r="BB33" s="65" t="str">
        <f t="shared" si="4"/>
        <v>N/A</v>
      </c>
      <c r="BC33" s="68" t="str">
        <f t="shared" si="5"/>
        <v>E</v>
      </c>
      <c r="BD33" s="35"/>
      <c r="BE33" s="75" t="s">
        <v>2405</v>
      </c>
      <c r="BF33" s="93">
        <v>4</v>
      </c>
      <c r="BG33" s="75" t="s">
        <v>2405</v>
      </c>
      <c r="BH33" s="88">
        <v>3</v>
      </c>
      <c r="BI33" s="69" t="s">
        <v>131</v>
      </c>
      <c r="BK33" s="71" t="str">
        <f t="shared" si="6"/>
        <v>Catégorie 5EOUI</v>
      </c>
      <c r="BM33" s="44" t="s">
        <v>150</v>
      </c>
      <c r="BO33" s="72" t="str">
        <f t="shared" si="15"/>
        <v/>
      </c>
      <c r="BP33" s="73" t="str">
        <f t="shared" si="8"/>
        <v/>
      </c>
      <c r="BQ33" s="181" t="str">
        <f t="shared" si="9"/>
        <v/>
      </c>
      <c r="BR33" s="70"/>
      <c r="BS33" s="221" t="s">
        <v>85</v>
      </c>
    </row>
    <row r="34" spans="1:71" s="27" customFormat="1" ht="66" customHeight="1" thickBot="1" x14ac:dyDescent="0.6">
      <c r="A34" s="227">
        <v>16</v>
      </c>
      <c r="B34" s="224" t="s">
        <v>2314</v>
      </c>
      <c r="C34" s="223" t="s">
        <v>2479</v>
      </c>
      <c r="D34" s="225" t="s">
        <v>2480</v>
      </c>
      <c r="E34" s="225" t="s">
        <v>2481</v>
      </c>
      <c r="F34" s="229" t="s">
        <v>2482</v>
      </c>
      <c r="G34" s="21" t="s">
        <v>2462</v>
      </c>
      <c r="H34" s="21" t="s">
        <v>2483</v>
      </c>
      <c r="I34" s="21" t="s">
        <v>2356</v>
      </c>
      <c r="J34" s="11"/>
      <c r="K34" s="21" t="s">
        <v>88</v>
      </c>
      <c r="L34" s="21"/>
      <c r="M34" s="21" t="s">
        <v>85</v>
      </c>
      <c r="N34" s="21"/>
      <c r="O34" s="21"/>
      <c r="P34" s="21"/>
      <c r="Q34" s="21"/>
      <c r="R34" s="21"/>
      <c r="S34" s="21" t="s">
        <v>88</v>
      </c>
      <c r="T34" s="21"/>
      <c r="U34" s="21" t="s">
        <v>2322</v>
      </c>
      <c r="V34" s="21" t="s">
        <v>173</v>
      </c>
      <c r="W34" s="21" t="s">
        <v>2484</v>
      </c>
      <c r="X34" s="21" t="s">
        <v>2485</v>
      </c>
      <c r="Y34" s="21" t="s">
        <v>2486</v>
      </c>
      <c r="Z34" s="21">
        <v>7.5</v>
      </c>
      <c r="AA34" s="11"/>
      <c r="AB34" s="21">
        <v>5.33</v>
      </c>
      <c r="AC34" s="21" t="s">
        <v>2487</v>
      </c>
      <c r="AD34" s="21" t="s">
        <v>2488</v>
      </c>
      <c r="AE34" s="26"/>
      <c r="AF34" s="38" t="str" cm="1">
        <f t="array" ref="AF34">_xlfn.IFS(COUNTIF(Table14623578[[#This Row],[PBT/ vPvB]],"*X*"), 20, TRUE, "")</f>
        <v/>
      </c>
      <c r="AG34" s="39" t="str" cm="1">
        <f t="array" ref="AG34">_xlfn.IFS(COUNTIF(Table14623578[[#This Row],[Perturbateur Endocrinien]],"*X*"), 20, TRUE, "")</f>
        <v/>
      </c>
      <c r="AH34" s="39" t="str" cm="1">
        <f t="array" ref="AH34">_xlfn.IFS(COUNTIF(Table14623578[[#This Row],[Phrases H]],"*H350*"), 20, TRUE, "")</f>
        <v/>
      </c>
      <c r="AI34" s="39" t="str" cm="1">
        <f t="array" ref="AI34">_xlfn.IFS(COUNTIF(Table14623578[[#This Row],[Phrases H]],"*H360*"), 20, TRUE, "")</f>
        <v/>
      </c>
      <c r="AJ34" s="39" t="str" cm="1">
        <f t="array" ref="AJ34">_xlfn.IFS(COUNTIF(Table14623578[[#This Row],[Phrases H]],"*H340*"), 20, TRUE, "")</f>
        <v/>
      </c>
      <c r="AK34" s="39" t="str" cm="1">
        <f t="array" ref="AK34">_xlfn.IFS(COUNTIF(Table14623578[[#This Row],[Phrases H]],"*H351*"), 10, TRUE, "")</f>
        <v/>
      </c>
      <c r="AL34" s="39" t="str" cm="1">
        <f t="array" ref="AL34">_xlfn.IFS(COUNTIF(Table14623578[[#This Row],[Phrases H]],"*H361*"), 10, TRUE, "")</f>
        <v/>
      </c>
      <c r="AM34" s="39" t="str" cm="1">
        <f t="array" ref="AM34">_xlfn.IFS(COUNTIF(Table14623578[[#This Row],[Phrases H]],"*H362*"), 10, TRUE, "")</f>
        <v/>
      </c>
      <c r="AN34" s="39" t="str" cm="1">
        <f t="array" ref="AN34">_xlfn.IFS(COUNTIF(Table14623578[[#This Row],[Phrases H]],"*H341*"), 10, TRUE, "")</f>
        <v/>
      </c>
      <c r="AO34" s="39" t="str" cm="1">
        <f t="array" ref="AO34">_xlfn.IFS(COUNTIF(Table14623578[[#This Row],[Phrases H]],"*H372*"), 10, TRUE, "")</f>
        <v/>
      </c>
      <c r="AP34" s="39" cm="1">
        <f t="array" ref="AP34">_xlfn.IFS(COUNTIF(Table14623578[[#This Row],[Phrases H]],"*H410*"), 10, TRUE, "")</f>
        <v>10</v>
      </c>
      <c r="AQ34" s="39" cm="1">
        <f t="array" ref="AQ34">_xlfn.IFS(COUNTIF(Table14623578[[#This Row],[Phrases H]],"*H373*"), 5, TRUE, "")</f>
        <v>5</v>
      </c>
      <c r="AR34" s="39" t="str" cm="1">
        <f t="array" ref="AR34">_xlfn.IFS(COUNTIF(Table14623578[[#This Row],[Phrases H]],"*H411*"), 5, TRUE, "")</f>
        <v/>
      </c>
      <c r="AS34" s="59">
        <f t="shared" si="0"/>
        <v>15</v>
      </c>
      <c r="AT34" s="83">
        <v>5.33</v>
      </c>
      <c r="AU34" s="61" t="str">
        <f t="shared" si="10"/>
        <v>0</v>
      </c>
      <c r="AV34" s="81">
        <f t="shared" si="1"/>
        <v>15</v>
      </c>
      <c r="AW34" s="69" t="str">
        <f t="shared" si="16"/>
        <v>5</v>
      </c>
      <c r="AX34" s="29"/>
      <c r="AY34" s="78" t="s">
        <v>88</v>
      </c>
      <c r="AZ34" s="15" t="s">
        <v>97</v>
      </c>
      <c r="BA34" s="64">
        <f t="shared" si="11"/>
        <v>0</v>
      </c>
      <c r="BB34" s="65" t="str">
        <f t="shared" si="4"/>
        <v>N/A</v>
      </c>
      <c r="BC34" s="68" t="str">
        <f t="shared" si="5"/>
        <v>E</v>
      </c>
      <c r="BD34" s="35"/>
      <c r="BE34" s="75" t="s">
        <v>2405</v>
      </c>
      <c r="BF34" s="93">
        <v>4</v>
      </c>
      <c r="BG34" s="75" t="s">
        <v>2405</v>
      </c>
      <c r="BH34" s="88">
        <v>3</v>
      </c>
      <c r="BI34" s="69" t="s">
        <v>131</v>
      </c>
      <c r="BK34" s="71" t="str">
        <f t="shared" si="6"/>
        <v>Catégorie 5EOUI</v>
      </c>
      <c r="BM34" s="44" t="s">
        <v>150</v>
      </c>
      <c r="BO34" s="72" t="str">
        <f t="shared" si="15"/>
        <v/>
      </c>
      <c r="BP34" s="73" t="str">
        <f t="shared" si="8"/>
        <v/>
      </c>
      <c r="BQ34" s="181" t="str">
        <f t="shared" si="9"/>
        <v/>
      </c>
      <c r="BR34" s="70"/>
      <c r="BS34" s="221" t="s">
        <v>85</v>
      </c>
    </row>
    <row r="35" spans="1:71" s="27" customFormat="1" ht="66.650000000000006" customHeight="1" x14ac:dyDescent="0.55000000000000004">
      <c r="A35" s="227">
        <v>17</v>
      </c>
      <c r="B35" s="224" t="s">
        <v>2314</v>
      </c>
      <c r="C35" s="223" t="s">
        <v>2489</v>
      </c>
      <c r="D35" s="225" t="s">
        <v>2490</v>
      </c>
      <c r="E35" s="225" t="s">
        <v>2491</v>
      </c>
      <c r="F35" s="229" t="s">
        <v>2492</v>
      </c>
      <c r="G35" s="21" t="s">
        <v>2367</v>
      </c>
      <c r="H35" s="21" t="s">
        <v>2493</v>
      </c>
      <c r="I35" s="21" t="s">
        <v>2356</v>
      </c>
      <c r="J35" s="11"/>
      <c r="K35" s="21" t="s">
        <v>88</v>
      </c>
      <c r="L35" s="21"/>
      <c r="M35" s="21" t="s">
        <v>85</v>
      </c>
      <c r="N35" s="21"/>
      <c r="O35" s="21"/>
      <c r="P35" s="21"/>
      <c r="Q35" s="21"/>
      <c r="R35" s="21"/>
      <c r="S35" s="21" t="s">
        <v>88</v>
      </c>
      <c r="T35" s="21"/>
      <c r="U35" s="21" t="s">
        <v>2322</v>
      </c>
      <c r="V35" s="21" t="s">
        <v>173</v>
      </c>
      <c r="W35" s="21" t="s">
        <v>2494</v>
      </c>
      <c r="X35" s="21" t="s">
        <v>2495</v>
      </c>
      <c r="Y35" s="21" t="s">
        <v>2496</v>
      </c>
      <c r="Z35" s="174">
        <v>7.6</v>
      </c>
      <c r="AA35" s="11"/>
      <c r="AB35" s="21">
        <v>5.33</v>
      </c>
      <c r="AC35" s="21" t="s">
        <v>2497</v>
      </c>
      <c r="AD35" s="21" t="s">
        <v>2468</v>
      </c>
      <c r="AE35" s="26"/>
      <c r="AF35" s="38" t="str" cm="1">
        <f t="array" ref="AF35">_xlfn.IFS(COUNTIF(Table14623578[[#This Row],[PBT/ vPvB]],"*X*"), 20, TRUE, "")</f>
        <v/>
      </c>
      <c r="AG35" s="39" t="str" cm="1">
        <f t="array" ref="AG35">_xlfn.IFS(COUNTIF(Table14623578[[#This Row],[Perturbateur Endocrinien]],"*X*"), 20, TRUE, "")</f>
        <v/>
      </c>
      <c r="AH35" s="39" t="str" cm="1">
        <f t="array" ref="AH35">_xlfn.IFS(COUNTIF(Table14623578[[#This Row],[Phrases H]],"*H350*"), 20, TRUE, "")</f>
        <v/>
      </c>
      <c r="AI35" s="39" t="str" cm="1">
        <f t="array" ref="AI35">_xlfn.IFS(COUNTIF(Table14623578[[#This Row],[Phrases H]],"*H360*"), 20, TRUE, "")</f>
        <v/>
      </c>
      <c r="AJ35" s="39" t="str" cm="1">
        <f t="array" ref="AJ35">_xlfn.IFS(COUNTIF(Table14623578[[#This Row],[Phrases H]],"*H340*"), 20, TRUE, "")</f>
        <v/>
      </c>
      <c r="AK35" s="39" t="str" cm="1">
        <f t="array" ref="AK35">_xlfn.IFS(COUNTIF(Table14623578[[#This Row],[Phrases H]],"*H351*"), 10, TRUE, "")</f>
        <v/>
      </c>
      <c r="AL35" s="39" t="str" cm="1">
        <f t="array" ref="AL35">_xlfn.IFS(COUNTIF(Table14623578[[#This Row],[Phrases H]],"*H361*"), 10, TRUE, "")</f>
        <v/>
      </c>
      <c r="AM35" s="39" t="str" cm="1">
        <f t="array" ref="AM35">_xlfn.IFS(COUNTIF(Table14623578[[#This Row],[Phrases H]],"*H362*"), 10, TRUE, "")</f>
        <v/>
      </c>
      <c r="AN35" s="39" t="str" cm="1">
        <f t="array" ref="AN35">_xlfn.IFS(COUNTIF(Table14623578[[#This Row],[Phrases H]],"*H341*"), 10, TRUE, "")</f>
        <v/>
      </c>
      <c r="AO35" s="39" t="str" cm="1">
        <f t="array" ref="AO35">_xlfn.IFS(COUNTIF(Table14623578[[#This Row],[Phrases H]],"*H372*"), 10, TRUE, "")</f>
        <v/>
      </c>
      <c r="AP35" s="39" cm="1">
        <f t="array" ref="AP35">_xlfn.IFS(COUNTIF(Table14623578[[#This Row],[Phrases H]],"*H410*"), 10, TRUE, "")</f>
        <v>10</v>
      </c>
      <c r="AQ35" s="39" cm="1">
        <f t="array" ref="AQ35">_xlfn.IFS(COUNTIF(Table14623578[[#This Row],[Phrases H]],"*H373*"), 5, TRUE, "")</f>
        <v>5</v>
      </c>
      <c r="AR35" s="39" t="str" cm="1">
        <f t="array" ref="AR35">_xlfn.IFS(COUNTIF(Table14623578[[#This Row],[Phrases H]],"*H411*"), 5, TRUE, "")</f>
        <v/>
      </c>
      <c r="AS35" s="59">
        <f t="shared" si="0"/>
        <v>15</v>
      </c>
      <c r="AT35" s="197">
        <v>5.33</v>
      </c>
      <c r="AU35" s="198" t="str">
        <f t="shared" ref="AU35:AU44" si="17">IF(AT35="0","0",IF(AT35&lt;2,"20",IF(AT35&lt;3,"10","0")))</f>
        <v>0</v>
      </c>
      <c r="AV35" s="199">
        <f t="shared" si="1"/>
        <v>15</v>
      </c>
      <c r="AW35" s="200" t="str">
        <f t="shared" si="16"/>
        <v>5</v>
      </c>
      <c r="AX35" s="201"/>
      <c r="AY35" s="176" t="s">
        <v>88</v>
      </c>
      <c r="AZ35" s="24" t="s">
        <v>97</v>
      </c>
      <c r="BA35" s="177">
        <f t="shared" si="11"/>
        <v>0</v>
      </c>
      <c r="BB35" s="178" t="str">
        <f t="shared" si="4"/>
        <v>N/A</v>
      </c>
      <c r="BC35" s="202" t="str">
        <f t="shared" si="5"/>
        <v>E</v>
      </c>
      <c r="BD35" s="35"/>
      <c r="BE35" s="175" t="s">
        <v>2405</v>
      </c>
      <c r="BF35" s="93">
        <v>4</v>
      </c>
      <c r="BG35" s="175" t="s">
        <v>2498</v>
      </c>
      <c r="BH35" s="94">
        <v>2</v>
      </c>
      <c r="BI35" s="200" t="s">
        <v>131</v>
      </c>
      <c r="BK35" s="203" t="str">
        <f t="shared" si="6"/>
        <v>Catégorie 5EOUI</v>
      </c>
      <c r="BM35" s="204" t="s">
        <v>88</v>
      </c>
      <c r="BO35" s="205" t="str">
        <f t="shared" si="15"/>
        <v/>
      </c>
      <c r="BP35" s="206" t="str">
        <f t="shared" si="8"/>
        <v/>
      </c>
      <c r="BQ35" s="207" t="str">
        <f t="shared" si="9"/>
        <v/>
      </c>
      <c r="BR35" s="70"/>
      <c r="BS35" s="221" t="s">
        <v>85</v>
      </c>
    </row>
    <row r="36" spans="1:71" s="27" customFormat="1" ht="62.5" customHeight="1" x14ac:dyDescent="0.55000000000000004">
      <c r="A36" s="227">
        <v>18</v>
      </c>
      <c r="B36" s="224" t="s">
        <v>2314</v>
      </c>
      <c r="C36" s="223" t="s">
        <v>2499</v>
      </c>
      <c r="D36" s="225" t="s">
        <v>2500</v>
      </c>
      <c r="E36" s="225" t="s">
        <v>2501</v>
      </c>
      <c r="F36" s="229" t="s">
        <v>2502</v>
      </c>
      <c r="G36" s="21" t="s">
        <v>2388</v>
      </c>
      <c r="H36" s="21" t="s">
        <v>2503</v>
      </c>
      <c r="I36" s="21" t="s">
        <v>2356</v>
      </c>
      <c r="J36" s="11"/>
      <c r="K36" s="21" t="s">
        <v>88</v>
      </c>
      <c r="L36" s="21"/>
      <c r="M36" s="21" t="s">
        <v>85</v>
      </c>
      <c r="N36" s="21"/>
      <c r="O36" s="21"/>
      <c r="P36" s="21"/>
      <c r="Q36" s="21"/>
      <c r="R36" s="21"/>
      <c r="S36" s="21" t="s">
        <v>88</v>
      </c>
      <c r="T36" s="21"/>
      <c r="U36" s="21" t="s">
        <v>2322</v>
      </c>
      <c r="V36" s="21" t="s">
        <v>173</v>
      </c>
      <c r="W36" s="21" t="s">
        <v>2504</v>
      </c>
      <c r="X36" s="21" t="s">
        <v>2505</v>
      </c>
      <c r="Y36" s="21" t="s">
        <v>2506</v>
      </c>
      <c r="Z36" s="21">
        <v>7.24</v>
      </c>
      <c r="AA36" s="11"/>
      <c r="AB36" s="21">
        <v>5.54</v>
      </c>
      <c r="AC36" s="21" t="s">
        <v>2507</v>
      </c>
      <c r="AD36" s="21" t="s">
        <v>2508</v>
      </c>
      <c r="AE36" s="26"/>
      <c r="AF36" s="208" t="str" cm="1">
        <f t="array" ref="AF36">_xlfn.IFS(COUNTIF(Table14623578[[#This Row],[PBT/ vPvB]],"*X*"), 20, TRUE, "")</f>
        <v/>
      </c>
      <c r="AG36" s="208" t="str" cm="1">
        <f t="array" ref="AG36">_xlfn.IFS(COUNTIF(Table14623578[[#This Row],[Perturbateur Endocrinien]],"*X*"), 20, TRUE, "")</f>
        <v/>
      </c>
      <c r="AH36" s="208" t="str" cm="1">
        <f t="array" ref="AH36">_xlfn.IFS(COUNTIF(Table14623578[[#This Row],[Phrases H]],"*H350*"), 20, TRUE, "")</f>
        <v/>
      </c>
      <c r="AI36" s="208" t="str" cm="1">
        <f t="array" ref="AI36">_xlfn.IFS(COUNTIF(Table14623578[[#This Row],[Phrases H]],"*H360*"), 20, TRUE, "")</f>
        <v/>
      </c>
      <c r="AJ36" s="208" t="str" cm="1">
        <f t="array" ref="AJ36">_xlfn.IFS(COUNTIF(Table14623578[[#This Row],[Phrases H]],"*H340*"), 20, TRUE, "")</f>
        <v/>
      </c>
      <c r="AK36" s="208" t="str" cm="1">
        <f t="array" ref="AK36">_xlfn.IFS(COUNTIF(Table14623578[[#This Row],[Phrases H]],"*H351*"), 10, TRUE, "")</f>
        <v/>
      </c>
      <c r="AL36" s="208" t="str" cm="1">
        <f t="array" ref="AL36">_xlfn.IFS(COUNTIF(Table14623578[[#This Row],[Phrases H]],"*H361*"), 10, TRUE, "")</f>
        <v/>
      </c>
      <c r="AM36" s="208" t="str" cm="1">
        <f t="array" ref="AM36">_xlfn.IFS(COUNTIF(Table14623578[[#This Row],[Phrases H]],"*H362*"), 10, TRUE, "")</f>
        <v/>
      </c>
      <c r="AN36" s="208" t="str" cm="1">
        <f t="array" ref="AN36">_xlfn.IFS(COUNTIF(Table14623578[[#This Row],[Phrases H]],"*H341*"), 10, TRUE, "")</f>
        <v/>
      </c>
      <c r="AO36" s="208" t="str" cm="1">
        <f t="array" ref="AO36">_xlfn.IFS(COUNTIF(Table14623578[[#This Row],[Phrases H]],"*H372*"), 10, TRUE, "")</f>
        <v/>
      </c>
      <c r="AP36" s="208" cm="1">
        <f t="array" ref="AP36">_xlfn.IFS(COUNTIF(Table14623578[[#This Row],[Phrases H]],"*H410*"), 10, TRUE, "")</f>
        <v>10</v>
      </c>
      <c r="AQ36" s="208" cm="1">
        <f t="array" ref="AQ36">_xlfn.IFS(COUNTIF(Table14623578[[#This Row],[Phrases H]],"*H373*"), 5, TRUE, "")</f>
        <v>5</v>
      </c>
      <c r="AR36" s="208" t="str" cm="1">
        <f t="array" ref="AR36">_xlfn.IFS(COUNTIF(Table14623578[[#This Row],[Phrases H]],"*H411*"), 5, TRUE, "")</f>
        <v/>
      </c>
      <c r="AS36" s="209">
        <f t="shared" si="0"/>
        <v>15</v>
      </c>
      <c r="AT36" s="35">
        <v>5.54</v>
      </c>
      <c r="AU36" s="210" t="str">
        <f t="shared" si="17"/>
        <v>0</v>
      </c>
      <c r="AV36" s="211">
        <f t="shared" si="1"/>
        <v>15</v>
      </c>
      <c r="AW36" s="212" t="str">
        <f t="shared" si="16"/>
        <v>5</v>
      </c>
      <c r="AX36" s="35"/>
      <c r="AY36" s="35" t="s">
        <v>88</v>
      </c>
      <c r="AZ36" s="213" t="s">
        <v>97</v>
      </c>
      <c r="BA36" s="214">
        <f t="shared" si="11"/>
        <v>0</v>
      </c>
      <c r="BB36" s="214" t="str">
        <f t="shared" si="4"/>
        <v>N/A</v>
      </c>
      <c r="BC36" s="215" t="str">
        <f t="shared" si="5"/>
        <v>E</v>
      </c>
      <c r="BD36" s="35"/>
      <c r="BE36" s="216" t="s">
        <v>2405</v>
      </c>
      <c r="BF36" s="217">
        <v>4</v>
      </c>
      <c r="BG36" s="216" t="s">
        <v>2405</v>
      </c>
      <c r="BH36" s="218">
        <v>3</v>
      </c>
      <c r="BI36" s="212" t="s">
        <v>131</v>
      </c>
      <c r="BK36" s="219" t="str">
        <f t="shared" si="6"/>
        <v>Catégorie 5EOUI</v>
      </c>
      <c r="BM36" s="220" t="s">
        <v>88</v>
      </c>
      <c r="BO36" s="70" t="str">
        <f t="shared" si="15"/>
        <v/>
      </c>
      <c r="BP36" s="27" t="str">
        <f t="shared" si="8"/>
        <v/>
      </c>
      <c r="BQ36" s="70" t="str">
        <f t="shared" si="9"/>
        <v/>
      </c>
      <c r="BR36" s="70"/>
      <c r="BS36" s="221" t="s">
        <v>85</v>
      </c>
    </row>
    <row r="37" spans="1:71" s="27" customFormat="1" ht="30" customHeight="1" x14ac:dyDescent="0.55000000000000004">
      <c r="A37" s="227">
        <v>1</v>
      </c>
      <c r="B37" s="224" t="s">
        <v>2509</v>
      </c>
      <c r="C37" s="226" t="s">
        <v>2510</v>
      </c>
      <c r="D37" s="224" t="s">
        <v>2511</v>
      </c>
      <c r="E37" s="224" t="s">
        <v>2512</v>
      </c>
      <c r="F37" s="230" t="s">
        <v>2513</v>
      </c>
      <c r="G37" s="11" t="s">
        <v>2514</v>
      </c>
      <c r="H37" s="11" t="s">
        <v>2515</v>
      </c>
      <c r="I37" s="11" t="s">
        <v>2516</v>
      </c>
      <c r="J37" s="11" t="s">
        <v>77</v>
      </c>
      <c r="K37" s="11" t="s">
        <v>88</v>
      </c>
      <c r="L37" s="11" t="s">
        <v>85</v>
      </c>
      <c r="M37" s="11"/>
      <c r="N37" s="11"/>
      <c r="O37" s="11"/>
      <c r="P37" s="11"/>
      <c r="Q37" s="12"/>
      <c r="R37" s="12" t="s">
        <v>85</v>
      </c>
      <c r="S37" s="11" t="s">
        <v>88</v>
      </c>
      <c r="T37" s="12"/>
      <c r="U37" s="11" t="s">
        <v>2517</v>
      </c>
      <c r="V37" s="11" t="s">
        <v>88</v>
      </c>
      <c r="W37" s="11">
        <v>17.399999999999999</v>
      </c>
      <c r="X37" s="11">
        <v>4</v>
      </c>
      <c r="Y37" s="11">
        <v>36</v>
      </c>
      <c r="Z37" s="11">
        <v>4.08</v>
      </c>
      <c r="AA37" s="11"/>
      <c r="AB37" s="196">
        <f t="shared" ref="AB37:AB38" si="18">LOG(1620)</f>
        <v>3.2095150145426308</v>
      </c>
      <c r="AC37" s="11" t="s">
        <v>2518</v>
      </c>
      <c r="AD37" s="11" t="s">
        <v>2519</v>
      </c>
      <c r="AE37" s="26"/>
      <c r="AF37" s="208" cm="1">
        <f t="array" ref="AF37">_xlfn.IFS(COUNTIF(Table14623578[[#This Row],[PBT/ vPvB]],"*X*"), 20, TRUE, "")</f>
        <v>20</v>
      </c>
      <c r="AG37" s="208" t="str" cm="1">
        <f t="array" ref="AG37">_xlfn.IFS(COUNTIF(Table14623578[[#This Row],[Perturbateur Endocrinien]],"*X*"), 20, TRUE, "")</f>
        <v/>
      </c>
      <c r="AH37" s="208" t="str" cm="1">
        <f t="array" ref="AH37">_xlfn.IFS(COUNTIF(Table14623578[[#This Row],[Phrases H]],"*H350*"), 20, TRUE, "")</f>
        <v/>
      </c>
      <c r="AI37" s="208" t="str" cm="1">
        <f t="array" ref="AI37">_xlfn.IFS(COUNTIF(Table14623578[[#This Row],[Phrases H]],"*H360*"), 20, TRUE, "")</f>
        <v/>
      </c>
      <c r="AJ37" s="208" t="str" cm="1">
        <f t="array" ref="AJ37">_xlfn.IFS(COUNTIF(Table14623578[[#This Row],[Phrases H]],"*H340*"), 20, TRUE, "")</f>
        <v/>
      </c>
      <c r="AK37" s="208" t="str" cm="1">
        <f t="array" ref="AK37">_xlfn.IFS(COUNTIF(Table14623578[[#This Row],[Phrases H]],"*H351*"), 10, TRUE, "")</f>
        <v/>
      </c>
      <c r="AL37" s="208" t="str" cm="1">
        <f t="array" ref="AL37">_xlfn.IFS(COUNTIF(Table14623578[[#This Row],[Phrases H]],"*H361*"), 10, TRUE, "")</f>
        <v/>
      </c>
      <c r="AM37" s="208" t="str" cm="1">
        <f t="array" ref="AM37">_xlfn.IFS(COUNTIF(Table14623578[[#This Row],[Phrases H]],"*H362*"), 10, TRUE, "")</f>
        <v/>
      </c>
      <c r="AN37" s="208" t="str" cm="1">
        <f t="array" ref="AN37">_xlfn.IFS(COUNTIF(Table14623578[[#This Row],[Phrases H]],"*H341*"), 10, TRUE, "")</f>
        <v/>
      </c>
      <c r="AO37" s="208" t="str" cm="1">
        <f t="array" ref="AO37">_xlfn.IFS(COUNTIF(Table14623578[[#This Row],[Phrases H]],"*H372*"), 10, TRUE, "")</f>
        <v/>
      </c>
      <c r="AP37" s="208" t="str" cm="1">
        <f t="array" ref="AP37">_xlfn.IFS(COUNTIF(Table14623578[[#This Row],[Phrases H]],"*H410*"), 10, TRUE, "")</f>
        <v/>
      </c>
      <c r="AQ37" s="208" t="str" cm="1">
        <f t="array" ref="AQ37">_xlfn.IFS(COUNTIF(Table14623578[[#This Row],[Phrases H]],"*H373*"), 5, TRUE, "")</f>
        <v/>
      </c>
      <c r="AR37" s="208" t="str" cm="1">
        <f t="array" ref="AR37">_xlfn.IFS(COUNTIF(Table14623578[[#This Row],[Phrases H]],"*H411*"), 5, TRUE, "")</f>
        <v/>
      </c>
      <c r="AS37" s="209">
        <f t="shared" ref="AS37:AS44" si="19">SUM(AF37:AR37)</f>
        <v>20</v>
      </c>
      <c r="AT37" s="35">
        <v>3.2095150145426308</v>
      </c>
      <c r="AU37" s="210" t="str">
        <f t="shared" si="17"/>
        <v>0</v>
      </c>
      <c r="AV37" s="211">
        <f t="shared" ref="AV37:AV44" si="20">AS37+AU37</f>
        <v>20</v>
      </c>
      <c r="AW37" s="212" t="str">
        <f t="shared" si="16"/>
        <v>4</v>
      </c>
      <c r="AX37" s="35"/>
      <c r="AY37" s="35" t="s">
        <v>88</v>
      </c>
      <c r="AZ37" s="213" t="s">
        <v>97</v>
      </c>
      <c r="BA37" s="214">
        <f t="shared" ref="BA37:BA44" si="21">IF(AY37="N/A",0,IF(AY37&lt;=10,5,IF(AY37&lt;=100,10,IF(AY37&lt;=1000,15,IF(AY37&lt;=10000,20,25)))))</f>
        <v>0</v>
      </c>
      <c r="BB37" s="214" t="str">
        <f t="shared" ref="BB37:BB44" si="22">IF(BA37=25,"Production très élevée",IF(BA37=20,"Production élevée",IF(BA37=15,"Production modérée",IF(BA37=10,"Faible production",IF(BA37=5,"Très faible production","N/A")))))</f>
        <v>N/A</v>
      </c>
      <c r="BC37" s="215" t="str">
        <f t="shared" ref="BC37:BC44" si="23">IF(BA37&lt;=5,"E",IF(BA37&lt;=10,"D",IF(BA37&lt;=15,"C",IF(BA37&lt;=20,"B","A"))))</f>
        <v>E</v>
      </c>
      <c r="BD37" s="35"/>
      <c r="BE37" s="216" t="s">
        <v>2520</v>
      </c>
      <c r="BF37" s="217">
        <v>2</v>
      </c>
      <c r="BG37" s="216"/>
      <c r="BH37" s="218">
        <v>0</v>
      </c>
      <c r="BI37" s="212" t="s">
        <v>99</v>
      </c>
      <c r="BK37" s="219" t="str">
        <f t="shared" ref="BK37:BK44" si="24">_xlfn.CONCAT("Catégorie ", AW37,BC37,BI37)</f>
        <v>Catégorie 4ENON</v>
      </c>
      <c r="BM37" s="220" t="s">
        <v>150</v>
      </c>
      <c r="BO37" s="70" t="str">
        <f t="shared" ref="BO37:BO44" si="25">IF(OR(AW37="1", AW37="2"), "X", "")</f>
        <v/>
      </c>
      <c r="BP37" s="27" t="str">
        <f t="shared" si="8"/>
        <v/>
      </c>
      <c r="BQ37" s="70" t="str">
        <f t="shared" si="9"/>
        <v/>
      </c>
      <c r="BR37" s="70"/>
      <c r="BS37" s="221" t="s">
        <v>85</v>
      </c>
    </row>
    <row r="38" spans="1:71" s="27" customFormat="1" ht="30" customHeight="1" x14ac:dyDescent="0.55000000000000004">
      <c r="A38" s="227">
        <v>2</v>
      </c>
      <c r="B38" s="224" t="s">
        <v>2509</v>
      </c>
      <c r="C38" s="226" t="s">
        <v>2521</v>
      </c>
      <c r="D38" s="224" t="s">
        <v>2522</v>
      </c>
      <c r="E38" s="224" t="s">
        <v>2523</v>
      </c>
      <c r="F38" s="230" t="s">
        <v>2524</v>
      </c>
      <c r="G38" s="11" t="s">
        <v>2525</v>
      </c>
      <c r="H38" s="11" t="s">
        <v>2526</v>
      </c>
      <c r="I38" s="11" t="s">
        <v>2527</v>
      </c>
      <c r="J38" s="11" t="s">
        <v>77</v>
      </c>
      <c r="K38" s="11" t="s">
        <v>88</v>
      </c>
      <c r="L38" s="11" t="s">
        <v>85</v>
      </c>
      <c r="M38" s="11"/>
      <c r="N38" s="11"/>
      <c r="O38" s="11"/>
      <c r="P38" s="11"/>
      <c r="Q38" s="12"/>
      <c r="R38" s="12" t="s">
        <v>85</v>
      </c>
      <c r="S38" s="11" t="s">
        <v>88</v>
      </c>
      <c r="T38" s="12"/>
      <c r="U38" s="11" t="s">
        <v>88</v>
      </c>
      <c r="V38" s="11" t="s">
        <v>88</v>
      </c>
      <c r="W38" s="11">
        <v>0.57324600000000003</v>
      </c>
      <c r="X38" s="11">
        <v>0.27825297999999998</v>
      </c>
      <c r="Y38" s="11">
        <v>47.45</v>
      </c>
      <c r="Z38" s="11">
        <v>4.6100000000000003</v>
      </c>
      <c r="AA38" s="11"/>
      <c r="AB38" s="196">
        <f t="shared" si="18"/>
        <v>3.2095150145426308</v>
      </c>
      <c r="AC38" s="11" t="s">
        <v>2518</v>
      </c>
      <c r="AD38" s="11" t="s">
        <v>1997</v>
      </c>
      <c r="AE38" s="26"/>
      <c r="AF38" s="208" cm="1">
        <f t="array" ref="AF38">_xlfn.IFS(COUNTIF(Table14623578[[#This Row],[PBT/ vPvB]],"*X*"), 20, TRUE, "")</f>
        <v>20</v>
      </c>
      <c r="AG38" s="208" t="str" cm="1">
        <f t="array" ref="AG38">_xlfn.IFS(COUNTIF(Table14623578[[#This Row],[Perturbateur Endocrinien]],"*X*"), 20, TRUE, "")</f>
        <v/>
      </c>
      <c r="AH38" s="208" t="str" cm="1">
        <f t="array" ref="AH38">_xlfn.IFS(COUNTIF(Table14623578[[#This Row],[Phrases H]],"*H350*"), 20, TRUE, "")</f>
        <v/>
      </c>
      <c r="AI38" s="208" t="str" cm="1">
        <f t="array" ref="AI38">_xlfn.IFS(COUNTIF(Table14623578[[#This Row],[Phrases H]],"*H360*"), 20, TRUE, "")</f>
        <v/>
      </c>
      <c r="AJ38" s="208" t="str" cm="1">
        <f t="array" ref="AJ38">_xlfn.IFS(COUNTIF(Table14623578[[#This Row],[Phrases H]],"*H340*"), 20, TRUE, "")</f>
        <v/>
      </c>
      <c r="AK38" s="208" t="str" cm="1">
        <f t="array" ref="AK38">_xlfn.IFS(COUNTIF(Table14623578[[#This Row],[Phrases H]],"*H351*"), 10, TRUE, "")</f>
        <v/>
      </c>
      <c r="AL38" s="208" t="str" cm="1">
        <f t="array" ref="AL38">_xlfn.IFS(COUNTIF(Table14623578[[#This Row],[Phrases H]],"*H361*"), 10, TRUE, "")</f>
        <v/>
      </c>
      <c r="AM38" s="208" t="str" cm="1">
        <f t="array" ref="AM38">_xlfn.IFS(COUNTIF(Table14623578[[#This Row],[Phrases H]],"*H362*"), 10, TRUE, "")</f>
        <v/>
      </c>
      <c r="AN38" s="208" t="str" cm="1">
        <f t="array" ref="AN38">_xlfn.IFS(COUNTIF(Table14623578[[#This Row],[Phrases H]],"*H341*"), 10, TRUE, "")</f>
        <v/>
      </c>
      <c r="AO38" s="208" t="str" cm="1">
        <f t="array" ref="AO38">_xlfn.IFS(COUNTIF(Table14623578[[#This Row],[Phrases H]],"*H372*"), 10, TRUE, "")</f>
        <v/>
      </c>
      <c r="AP38" s="208" t="str" cm="1">
        <f t="array" ref="AP38">_xlfn.IFS(COUNTIF(Table14623578[[#This Row],[Phrases H]],"*H410*"), 10, TRUE, "")</f>
        <v/>
      </c>
      <c r="AQ38" s="208" t="str" cm="1">
        <f t="array" ref="AQ38">_xlfn.IFS(COUNTIF(Table14623578[[#This Row],[Phrases H]],"*H373*"), 5, TRUE, "")</f>
        <v/>
      </c>
      <c r="AR38" s="208" t="str" cm="1">
        <f t="array" ref="AR38">_xlfn.IFS(COUNTIF(Table14623578[[#This Row],[Phrases H]],"*H411*"), 5, TRUE, "")</f>
        <v/>
      </c>
      <c r="AS38" s="209">
        <f t="shared" si="19"/>
        <v>20</v>
      </c>
      <c r="AT38" s="35">
        <v>3.2095150145426308</v>
      </c>
      <c r="AU38" s="210" t="str">
        <f t="shared" si="17"/>
        <v>0</v>
      </c>
      <c r="AV38" s="211">
        <f t="shared" si="20"/>
        <v>20</v>
      </c>
      <c r="AW38" s="212" t="str">
        <f t="shared" si="16"/>
        <v>4</v>
      </c>
      <c r="AX38" s="35"/>
      <c r="AY38" s="35" t="s">
        <v>88</v>
      </c>
      <c r="AZ38" s="213" t="s">
        <v>97</v>
      </c>
      <c r="BA38" s="214">
        <f t="shared" si="21"/>
        <v>0</v>
      </c>
      <c r="BB38" s="214" t="str">
        <f t="shared" si="22"/>
        <v>N/A</v>
      </c>
      <c r="BC38" s="215" t="str">
        <f t="shared" si="23"/>
        <v>E</v>
      </c>
      <c r="BD38" s="35"/>
      <c r="BE38" s="216" t="s">
        <v>2528</v>
      </c>
      <c r="BF38" s="218">
        <v>1</v>
      </c>
      <c r="BG38" s="216"/>
      <c r="BH38" s="218">
        <v>0</v>
      </c>
      <c r="BI38" s="212" t="s">
        <v>99</v>
      </c>
      <c r="BK38" s="219" t="str">
        <f t="shared" si="24"/>
        <v>Catégorie 4ENON</v>
      </c>
      <c r="BM38" s="220" t="s">
        <v>150</v>
      </c>
      <c r="BO38" s="70" t="str">
        <f t="shared" si="25"/>
        <v/>
      </c>
      <c r="BP38" s="27" t="str">
        <f t="shared" si="8"/>
        <v/>
      </c>
      <c r="BQ38" s="70" t="str">
        <f t="shared" si="9"/>
        <v/>
      </c>
      <c r="BR38" s="70"/>
      <c r="BS38" s="221" t="s">
        <v>85</v>
      </c>
    </row>
    <row r="39" spans="1:71" s="27" customFormat="1" ht="30" customHeight="1" x14ac:dyDescent="0.55000000000000004">
      <c r="A39" s="227">
        <v>3</v>
      </c>
      <c r="B39" s="224" t="s">
        <v>2509</v>
      </c>
      <c r="C39" s="226" t="s">
        <v>2529</v>
      </c>
      <c r="D39" s="224" t="s">
        <v>2530</v>
      </c>
      <c r="E39" s="224" t="s">
        <v>2531</v>
      </c>
      <c r="F39" s="230" t="s">
        <v>2532</v>
      </c>
      <c r="G39" s="11" t="s">
        <v>2533</v>
      </c>
      <c r="H39" s="11" t="s">
        <v>2534</v>
      </c>
      <c r="I39" s="11" t="s">
        <v>2535</v>
      </c>
      <c r="J39" s="11" t="s">
        <v>77</v>
      </c>
      <c r="K39" s="11" t="s">
        <v>88</v>
      </c>
      <c r="L39" s="11" t="s">
        <v>85</v>
      </c>
      <c r="M39" s="11"/>
      <c r="N39" s="11"/>
      <c r="O39" s="11"/>
      <c r="P39" s="11"/>
      <c r="Q39" s="12"/>
      <c r="R39" s="12" t="s">
        <v>85</v>
      </c>
      <c r="S39" s="11" t="s">
        <v>88</v>
      </c>
      <c r="T39" s="12"/>
      <c r="U39" s="11" t="s">
        <v>88</v>
      </c>
      <c r="V39" s="11" t="s">
        <v>88</v>
      </c>
      <c r="W39" s="11" t="s">
        <v>2536</v>
      </c>
      <c r="X39" s="11" t="s">
        <v>2537</v>
      </c>
      <c r="Y39" s="11">
        <v>21.68</v>
      </c>
      <c r="Z39" s="11" t="s">
        <v>2538</v>
      </c>
      <c r="AA39" s="11"/>
      <c r="AB39" s="196">
        <f>LOG(7940)</f>
        <v>3.8998205024270964</v>
      </c>
      <c r="AC39" s="11" t="s">
        <v>2539</v>
      </c>
      <c r="AD39" s="11" t="s">
        <v>2540</v>
      </c>
      <c r="AE39" s="26"/>
      <c r="AF39" s="208" cm="1">
        <f t="array" ref="AF39">_xlfn.IFS(COUNTIF(Table14623578[[#This Row],[PBT/ vPvB]],"*X*"), 20, TRUE, "")</f>
        <v>20</v>
      </c>
      <c r="AG39" s="208" t="str" cm="1">
        <f t="array" ref="AG39">_xlfn.IFS(COUNTIF(Table14623578[[#This Row],[Perturbateur Endocrinien]],"*X*"), 20, TRUE, "")</f>
        <v/>
      </c>
      <c r="AH39" s="208" t="str" cm="1">
        <f t="array" ref="AH39">_xlfn.IFS(COUNTIF(Table14623578[[#This Row],[Phrases H]],"*H350*"), 20, TRUE, "")</f>
        <v/>
      </c>
      <c r="AI39" s="208" t="str" cm="1">
        <f t="array" ref="AI39">_xlfn.IFS(COUNTIF(Table14623578[[#This Row],[Phrases H]],"*H360*"), 20, TRUE, "")</f>
        <v/>
      </c>
      <c r="AJ39" s="208" t="str" cm="1">
        <f t="array" ref="AJ39">_xlfn.IFS(COUNTIF(Table14623578[[#This Row],[Phrases H]],"*H340*"), 20, TRUE, "")</f>
        <v/>
      </c>
      <c r="AK39" s="208" t="str" cm="1">
        <f t="array" ref="AK39">_xlfn.IFS(COUNTIF(Table14623578[[#This Row],[Phrases H]],"*H351*"), 10, TRUE, "")</f>
        <v/>
      </c>
      <c r="AL39" s="208" t="str" cm="1">
        <f t="array" ref="AL39">_xlfn.IFS(COUNTIF(Table14623578[[#This Row],[Phrases H]],"*H361*"), 10, TRUE, "")</f>
        <v/>
      </c>
      <c r="AM39" s="208" t="str" cm="1">
        <f t="array" ref="AM39">_xlfn.IFS(COUNTIF(Table14623578[[#This Row],[Phrases H]],"*H362*"), 10, TRUE, "")</f>
        <v/>
      </c>
      <c r="AN39" s="208" t="str" cm="1">
        <f t="array" ref="AN39">_xlfn.IFS(COUNTIF(Table14623578[[#This Row],[Phrases H]],"*H341*"), 10, TRUE, "")</f>
        <v/>
      </c>
      <c r="AO39" s="208" t="str" cm="1">
        <f t="array" ref="AO39">_xlfn.IFS(COUNTIF(Table14623578[[#This Row],[Phrases H]],"*H372*"), 10, TRUE, "")</f>
        <v/>
      </c>
      <c r="AP39" s="208" t="str" cm="1">
        <f t="array" ref="AP39">_xlfn.IFS(COUNTIF(Table14623578[[#This Row],[Phrases H]],"*H410*"), 10, TRUE, "")</f>
        <v/>
      </c>
      <c r="AQ39" s="208" t="str" cm="1">
        <f t="array" ref="AQ39">_xlfn.IFS(COUNTIF(Table14623578[[#This Row],[Phrases H]],"*H373*"), 5, TRUE, "")</f>
        <v/>
      </c>
      <c r="AR39" s="208" t="str" cm="1">
        <f t="array" ref="AR39">_xlfn.IFS(COUNTIF(Table14623578[[#This Row],[Phrases H]],"*H411*"), 5, TRUE, "")</f>
        <v/>
      </c>
      <c r="AS39" s="209">
        <f t="shared" si="19"/>
        <v>20</v>
      </c>
      <c r="AT39" s="35">
        <v>3.8998205024270964</v>
      </c>
      <c r="AU39" s="210" t="str">
        <f t="shared" si="17"/>
        <v>0</v>
      </c>
      <c r="AV39" s="211">
        <f t="shared" si="20"/>
        <v>20</v>
      </c>
      <c r="AW39" s="212" t="str">
        <f t="shared" si="16"/>
        <v>4</v>
      </c>
      <c r="AX39" s="35"/>
      <c r="AY39" s="35" t="s">
        <v>88</v>
      </c>
      <c r="AZ39" s="213" t="s">
        <v>97</v>
      </c>
      <c r="BA39" s="214">
        <f t="shared" si="21"/>
        <v>0</v>
      </c>
      <c r="BB39" s="214" t="str">
        <f t="shared" si="22"/>
        <v>N/A</v>
      </c>
      <c r="BC39" s="215" t="str">
        <f t="shared" si="23"/>
        <v>E</v>
      </c>
      <c r="BD39" s="35"/>
      <c r="BE39" s="216" t="s">
        <v>2528</v>
      </c>
      <c r="BF39" s="218">
        <v>1</v>
      </c>
      <c r="BG39" s="216"/>
      <c r="BH39" s="218">
        <v>0</v>
      </c>
      <c r="BI39" s="212" t="s">
        <v>99</v>
      </c>
      <c r="BK39" s="219" t="str">
        <f t="shared" si="24"/>
        <v>Catégorie 4ENON</v>
      </c>
      <c r="BM39" s="220" t="s">
        <v>150</v>
      </c>
      <c r="BO39" s="70" t="str">
        <f t="shared" si="25"/>
        <v/>
      </c>
      <c r="BP39" s="27" t="str">
        <f t="shared" si="8"/>
        <v/>
      </c>
      <c r="BQ39" s="70" t="str">
        <f t="shared" si="9"/>
        <v/>
      </c>
      <c r="BR39" s="70"/>
      <c r="BS39" s="221" t="s">
        <v>85</v>
      </c>
    </row>
    <row r="40" spans="1:71" s="27" customFormat="1" ht="30" customHeight="1" x14ac:dyDescent="0.55000000000000004">
      <c r="A40" s="227">
        <v>4</v>
      </c>
      <c r="B40" s="224" t="s">
        <v>2509</v>
      </c>
      <c r="C40" s="226" t="s">
        <v>2541</v>
      </c>
      <c r="D40" s="224" t="s">
        <v>2542</v>
      </c>
      <c r="E40" s="224" t="s">
        <v>2543</v>
      </c>
      <c r="F40" s="230" t="s">
        <v>2544</v>
      </c>
      <c r="G40" s="11" t="s">
        <v>2545</v>
      </c>
      <c r="H40" s="11" t="s">
        <v>2546</v>
      </c>
      <c r="I40" s="11" t="s">
        <v>2547</v>
      </c>
      <c r="J40" s="11" t="s">
        <v>77</v>
      </c>
      <c r="K40" s="11" t="s">
        <v>88</v>
      </c>
      <c r="L40" s="11" t="s">
        <v>85</v>
      </c>
      <c r="M40" s="11"/>
      <c r="N40" s="11"/>
      <c r="O40" s="11"/>
      <c r="P40" s="11"/>
      <c r="Q40" s="12"/>
      <c r="R40" s="12" t="s">
        <v>85</v>
      </c>
      <c r="S40" s="11" t="s">
        <v>88</v>
      </c>
      <c r="T40" s="12"/>
      <c r="U40" s="11" t="s">
        <v>88</v>
      </c>
      <c r="V40" s="11" t="s">
        <v>88</v>
      </c>
      <c r="W40" s="11">
        <v>4.2599999999999999E-3</v>
      </c>
      <c r="X40" s="11" t="s">
        <v>2537</v>
      </c>
      <c r="Y40" s="11">
        <v>16.82</v>
      </c>
      <c r="Z40" s="11">
        <v>5.95</v>
      </c>
      <c r="AA40" s="11"/>
      <c r="AB40" s="196">
        <f>LOG(64600)</f>
        <v>4.8102325179950842</v>
      </c>
      <c r="AC40" s="11" t="s">
        <v>2548</v>
      </c>
      <c r="AD40" s="11" t="s">
        <v>2549</v>
      </c>
      <c r="AE40" s="26"/>
      <c r="AF40" s="208" cm="1">
        <f t="array" ref="AF40">_xlfn.IFS(COUNTIF(Table14623578[[#This Row],[PBT/ vPvB]],"*X*"), 20, TRUE, "")</f>
        <v>20</v>
      </c>
      <c r="AG40" s="208" t="str" cm="1">
        <f t="array" ref="AG40">_xlfn.IFS(COUNTIF(Table14623578[[#This Row],[Perturbateur Endocrinien]],"*X*"), 20, TRUE, "")</f>
        <v/>
      </c>
      <c r="AH40" s="208" t="str" cm="1">
        <f t="array" ref="AH40">_xlfn.IFS(COUNTIF(Table14623578[[#This Row],[Phrases H]],"*H350*"), 20, TRUE, "")</f>
        <v/>
      </c>
      <c r="AI40" s="208" t="str" cm="1">
        <f t="array" ref="AI40">_xlfn.IFS(COUNTIF(Table14623578[[#This Row],[Phrases H]],"*H360*"), 20, TRUE, "")</f>
        <v/>
      </c>
      <c r="AJ40" s="208" t="str" cm="1">
        <f t="array" ref="AJ40">_xlfn.IFS(COUNTIF(Table14623578[[#This Row],[Phrases H]],"*H340*"), 20, TRUE, "")</f>
        <v/>
      </c>
      <c r="AK40" s="208" t="str" cm="1">
        <f t="array" ref="AK40">_xlfn.IFS(COUNTIF(Table14623578[[#This Row],[Phrases H]],"*H351*"), 10, TRUE, "")</f>
        <v/>
      </c>
      <c r="AL40" s="208" t="str" cm="1">
        <f t="array" ref="AL40">_xlfn.IFS(COUNTIF(Table14623578[[#This Row],[Phrases H]],"*H361*"), 10, TRUE, "")</f>
        <v/>
      </c>
      <c r="AM40" s="208" t="str" cm="1">
        <f t="array" ref="AM40">_xlfn.IFS(COUNTIF(Table14623578[[#This Row],[Phrases H]],"*H362*"), 10, TRUE, "")</f>
        <v/>
      </c>
      <c r="AN40" s="208" t="str" cm="1">
        <f t="array" ref="AN40">_xlfn.IFS(COUNTIF(Table14623578[[#This Row],[Phrases H]],"*H341*"), 10, TRUE, "")</f>
        <v/>
      </c>
      <c r="AO40" s="208" t="str" cm="1">
        <f t="array" ref="AO40">_xlfn.IFS(COUNTIF(Table14623578[[#This Row],[Phrases H]],"*H372*"), 10, TRUE, "")</f>
        <v/>
      </c>
      <c r="AP40" s="208" t="str" cm="1">
        <f t="array" ref="AP40">_xlfn.IFS(COUNTIF(Table14623578[[#This Row],[Phrases H]],"*H410*"), 10, TRUE, "")</f>
        <v/>
      </c>
      <c r="AQ40" s="208" t="str" cm="1">
        <f t="array" ref="AQ40">_xlfn.IFS(COUNTIF(Table14623578[[#This Row],[Phrases H]],"*H373*"), 5, TRUE, "")</f>
        <v/>
      </c>
      <c r="AR40" s="208" t="str" cm="1">
        <f t="array" ref="AR40">_xlfn.IFS(COUNTIF(Table14623578[[#This Row],[Phrases H]],"*H411*"), 5, TRUE, "")</f>
        <v/>
      </c>
      <c r="AS40" s="209">
        <f t="shared" si="19"/>
        <v>20</v>
      </c>
      <c r="AT40" s="35">
        <v>4.8102325179950842</v>
      </c>
      <c r="AU40" s="210" t="str">
        <f t="shared" si="17"/>
        <v>0</v>
      </c>
      <c r="AV40" s="211">
        <f t="shared" si="20"/>
        <v>20</v>
      </c>
      <c r="AW40" s="212" t="str">
        <f t="shared" si="16"/>
        <v>4</v>
      </c>
      <c r="AX40" s="35"/>
      <c r="AY40" s="35" t="s">
        <v>88</v>
      </c>
      <c r="AZ40" s="213" t="s">
        <v>97</v>
      </c>
      <c r="BA40" s="214">
        <f t="shared" si="21"/>
        <v>0</v>
      </c>
      <c r="BB40" s="214" t="str">
        <f t="shared" si="22"/>
        <v>N/A</v>
      </c>
      <c r="BC40" s="215" t="str">
        <f t="shared" si="23"/>
        <v>E</v>
      </c>
      <c r="BD40" s="35"/>
      <c r="BE40" s="216" t="s">
        <v>2528</v>
      </c>
      <c r="BF40" s="218">
        <v>1</v>
      </c>
      <c r="BG40" s="216"/>
      <c r="BH40" s="218">
        <v>0</v>
      </c>
      <c r="BI40" s="212" t="s">
        <v>99</v>
      </c>
      <c r="BK40" s="219" t="str">
        <f t="shared" si="24"/>
        <v>Catégorie 4ENON</v>
      </c>
      <c r="BM40" s="220" t="s">
        <v>150</v>
      </c>
      <c r="BO40" s="70" t="str">
        <f t="shared" si="25"/>
        <v/>
      </c>
      <c r="BP40" s="27" t="str">
        <f t="shared" si="8"/>
        <v/>
      </c>
      <c r="BQ40" s="70" t="str">
        <f t="shared" si="9"/>
        <v/>
      </c>
      <c r="BR40" s="70"/>
      <c r="BS40" s="221" t="s">
        <v>85</v>
      </c>
    </row>
    <row r="41" spans="1:71" s="27" customFormat="1" ht="30" customHeight="1" x14ac:dyDescent="0.55000000000000004">
      <c r="A41" s="227">
        <v>5</v>
      </c>
      <c r="B41" s="224" t="s">
        <v>2509</v>
      </c>
      <c r="C41" s="226" t="s">
        <v>2550</v>
      </c>
      <c r="D41" s="224" t="s">
        <v>2551</v>
      </c>
      <c r="E41" s="224" t="s">
        <v>2552</v>
      </c>
      <c r="F41" s="230" t="s">
        <v>2553</v>
      </c>
      <c r="G41" s="11" t="s">
        <v>2554</v>
      </c>
      <c r="H41" s="11" t="s">
        <v>2555</v>
      </c>
      <c r="I41" s="11" t="s">
        <v>2556</v>
      </c>
      <c r="J41" s="11" t="s">
        <v>77</v>
      </c>
      <c r="K41" s="11" t="s">
        <v>88</v>
      </c>
      <c r="L41" s="11" t="s">
        <v>85</v>
      </c>
      <c r="M41" s="11"/>
      <c r="N41" s="11"/>
      <c r="O41" s="11"/>
      <c r="P41" s="11"/>
      <c r="Q41" s="12"/>
      <c r="R41" s="12" t="s">
        <v>85</v>
      </c>
      <c r="S41" s="11" t="s">
        <v>88</v>
      </c>
      <c r="T41" s="12"/>
      <c r="U41" s="11" t="s">
        <v>88</v>
      </c>
      <c r="V41" s="11" t="s">
        <v>88</v>
      </c>
      <c r="W41" s="11" t="s">
        <v>88</v>
      </c>
      <c r="X41" s="11" t="s">
        <v>2537</v>
      </c>
      <c r="Y41" s="11">
        <v>15.31</v>
      </c>
      <c r="Z41" s="11" t="s">
        <v>2557</v>
      </c>
      <c r="AA41" s="11"/>
      <c r="AB41" s="196">
        <f>LOG(135000)</f>
        <v>5.1303337684950066</v>
      </c>
      <c r="AC41" s="11" t="s">
        <v>2558</v>
      </c>
      <c r="AD41" s="11" t="s">
        <v>2559</v>
      </c>
      <c r="AE41" s="26"/>
      <c r="AF41" s="208" cm="1">
        <f t="array" ref="AF41">_xlfn.IFS(COUNTIF(Table14623578[[#This Row],[PBT/ vPvB]],"*X*"), 20, TRUE, "")</f>
        <v>20</v>
      </c>
      <c r="AG41" s="208" t="str" cm="1">
        <f t="array" ref="AG41">_xlfn.IFS(COUNTIF(Table14623578[[#This Row],[Perturbateur Endocrinien]],"*X*"), 20, TRUE, "")</f>
        <v/>
      </c>
      <c r="AH41" s="208" t="str" cm="1">
        <f t="array" ref="AH41">_xlfn.IFS(COUNTIF(Table14623578[[#This Row],[Phrases H]],"*H350*"), 20, TRUE, "")</f>
        <v/>
      </c>
      <c r="AI41" s="208" t="str" cm="1">
        <f t="array" ref="AI41">_xlfn.IFS(COUNTIF(Table14623578[[#This Row],[Phrases H]],"*H360*"), 20, TRUE, "")</f>
        <v/>
      </c>
      <c r="AJ41" s="208" t="str" cm="1">
        <f t="array" ref="AJ41">_xlfn.IFS(COUNTIF(Table14623578[[#This Row],[Phrases H]],"*H340*"), 20, TRUE, "")</f>
        <v/>
      </c>
      <c r="AK41" s="208" t="str" cm="1">
        <f t="array" ref="AK41">_xlfn.IFS(COUNTIF(Table14623578[[#This Row],[Phrases H]],"*H351*"), 10, TRUE, "")</f>
        <v/>
      </c>
      <c r="AL41" s="208" t="str" cm="1">
        <f t="array" ref="AL41">_xlfn.IFS(COUNTIF(Table14623578[[#This Row],[Phrases H]],"*H361*"), 10, TRUE, "")</f>
        <v/>
      </c>
      <c r="AM41" s="208" t="str" cm="1">
        <f t="array" ref="AM41">_xlfn.IFS(COUNTIF(Table14623578[[#This Row],[Phrases H]],"*H362*"), 10, TRUE, "")</f>
        <v/>
      </c>
      <c r="AN41" s="208" t="str" cm="1">
        <f t="array" ref="AN41">_xlfn.IFS(COUNTIF(Table14623578[[#This Row],[Phrases H]],"*H341*"), 10, TRUE, "")</f>
        <v/>
      </c>
      <c r="AO41" s="208" t="str" cm="1">
        <f t="array" ref="AO41">_xlfn.IFS(COUNTIF(Table14623578[[#This Row],[Phrases H]],"*H372*"), 10, TRUE, "")</f>
        <v/>
      </c>
      <c r="AP41" s="208" t="str" cm="1">
        <f t="array" ref="AP41">_xlfn.IFS(COUNTIF(Table14623578[[#This Row],[Phrases H]],"*H410*"), 10, TRUE, "")</f>
        <v/>
      </c>
      <c r="AQ41" s="208" t="str" cm="1">
        <f t="array" ref="AQ41">_xlfn.IFS(COUNTIF(Table14623578[[#This Row],[Phrases H]],"*H373*"), 5, TRUE, "")</f>
        <v/>
      </c>
      <c r="AR41" s="208" t="str" cm="1">
        <f t="array" ref="AR41">_xlfn.IFS(COUNTIF(Table14623578[[#This Row],[Phrases H]],"*H411*"), 5, TRUE, "")</f>
        <v/>
      </c>
      <c r="AS41" s="209">
        <f t="shared" si="19"/>
        <v>20</v>
      </c>
      <c r="AT41" s="35">
        <v>5.1303337684950066</v>
      </c>
      <c r="AU41" s="210" t="str">
        <f t="shared" si="17"/>
        <v>0</v>
      </c>
      <c r="AV41" s="211">
        <f t="shared" si="20"/>
        <v>20</v>
      </c>
      <c r="AW41" s="212" t="str">
        <f t="shared" si="16"/>
        <v>4</v>
      </c>
      <c r="AX41" s="35"/>
      <c r="AY41" s="35" t="s">
        <v>88</v>
      </c>
      <c r="AZ41" s="213" t="s">
        <v>97</v>
      </c>
      <c r="BA41" s="214">
        <f t="shared" si="21"/>
        <v>0</v>
      </c>
      <c r="BB41" s="214" t="str">
        <f t="shared" si="22"/>
        <v>N/A</v>
      </c>
      <c r="BC41" s="215" t="str">
        <f t="shared" si="23"/>
        <v>E</v>
      </c>
      <c r="BD41" s="35"/>
      <c r="BE41" s="216" t="s">
        <v>2528</v>
      </c>
      <c r="BF41" s="218">
        <v>1</v>
      </c>
      <c r="BG41" s="216"/>
      <c r="BH41" s="218">
        <v>0</v>
      </c>
      <c r="BI41" s="212" t="s">
        <v>99</v>
      </c>
      <c r="BK41" s="219" t="str">
        <f t="shared" si="24"/>
        <v>Catégorie 4ENON</v>
      </c>
      <c r="BM41" s="220" t="s">
        <v>150</v>
      </c>
      <c r="BO41" s="70" t="str">
        <f t="shared" si="25"/>
        <v/>
      </c>
      <c r="BP41" s="27" t="str">
        <f t="shared" si="8"/>
        <v/>
      </c>
      <c r="BQ41" s="70" t="str">
        <f t="shared" si="9"/>
        <v/>
      </c>
      <c r="BR41" s="70"/>
      <c r="BS41" s="221" t="s">
        <v>85</v>
      </c>
    </row>
    <row r="42" spans="1:71" s="27" customFormat="1" ht="30" customHeight="1" x14ac:dyDescent="0.55000000000000004">
      <c r="A42" s="227">
        <v>6</v>
      </c>
      <c r="B42" s="224" t="s">
        <v>2509</v>
      </c>
      <c r="C42" s="226" t="s">
        <v>2560</v>
      </c>
      <c r="D42" s="224" t="s">
        <v>2561</v>
      </c>
      <c r="E42" s="224" t="s">
        <v>2562</v>
      </c>
      <c r="F42" s="230" t="s">
        <v>2563</v>
      </c>
      <c r="G42" s="11" t="s">
        <v>2564</v>
      </c>
      <c r="H42" s="11" t="s">
        <v>2565</v>
      </c>
      <c r="I42" s="11" t="s">
        <v>2566</v>
      </c>
      <c r="J42" s="11" t="s">
        <v>77</v>
      </c>
      <c r="K42" s="11" t="s">
        <v>88</v>
      </c>
      <c r="L42" s="11" t="s">
        <v>85</v>
      </c>
      <c r="M42" s="11"/>
      <c r="N42" s="11"/>
      <c r="O42" s="11"/>
      <c r="P42" s="11"/>
      <c r="Q42" s="12"/>
      <c r="R42" s="12" t="s">
        <v>85</v>
      </c>
      <c r="S42" s="11" t="s">
        <v>88</v>
      </c>
      <c r="T42" s="12"/>
      <c r="U42" s="11" t="s">
        <v>88</v>
      </c>
      <c r="V42" s="11" t="s">
        <v>88</v>
      </c>
      <c r="W42" s="11" t="s">
        <v>88</v>
      </c>
      <c r="X42" s="11" t="s">
        <v>2567</v>
      </c>
      <c r="Y42" s="11">
        <v>8.8000000000000007</v>
      </c>
      <c r="Z42" s="11">
        <v>7.59</v>
      </c>
      <c r="AA42" s="11"/>
      <c r="AB42" s="196">
        <f>LOG(479000)</f>
        <v>5.6803355134145637</v>
      </c>
      <c r="AC42" s="11" t="s">
        <v>2568</v>
      </c>
      <c r="AD42" s="11" t="s">
        <v>2569</v>
      </c>
      <c r="AE42" s="26"/>
      <c r="AF42" s="208" cm="1">
        <f t="array" ref="AF42">_xlfn.IFS(COUNTIF(Table14623578[[#This Row],[PBT/ vPvB]],"*X*"), 20, TRUE, "")</f>
        <v>20</v>
      </c>
      <c r="AG42" s="208" t="str" cm="1">
        <f t="array" ref="AG42">_xlfn.IFS(COUNTIF(Table14623578[[#This Row],[Perturbateur Endocrinien]],"*X*"), 20, TRUE, "")</f>
        <v/>
      </c>
      <c r="AH42" s="208" t="str" cm="1">
        <f t="array" ref="AH42">_xlfn.IFS(COUNTIF(Table14623578[[#This Row],[Phrases H]],"*H350*"), 20, TRUE, "")</f>
        <v/>
      </c>
      <c r="AI42" s="208" t="str" cm="1">
        <f t="array" ref="AI42">_xlfn.IFS(COUNTIF(Table14623578[[#This Row],[Phrases H]],"*H360*"), 20, TRUE, "")</f>
        <v/>
      </c>
      <c r="AJ42" s="208" t="str" cm="1">
        <f t="array" ref="AJ42">_xlfn.IFS(COUNTIF(Table14623578[[#This Row],[Phrases H]],"*H340*"), 20, TRUE, "")</f>
        <v/>
      </c>
      <c r="AK42" s="208" t="str" cm="1">
        <f t="array" ref="AK42">_xlfn.IFS(COUNTIF(Table14623578[[#This Row],[Phrases H]],"*H351*"), 10, TRUE, "")</f>
        <v/>
      </c>
      <c r="AL42" s="208" t="str" cm="1">
        <f t="array" ref="AL42">_xlfn.IFS(COUNTIF(Table14623578[[#This Row],[Phrases H]],"*H361*"), 10, TRUE, "")</f>
        <v/>
      </c>
      <c r="AM42" s="208" t="str" cm="1">
        <f t="array" ref="AM42">_xlfn.IFS(COUNTIF(Table14623578[[#This Row],[Phrases H]],"*H362*"), 10, TRUE, "")</f>
        <v/>
      </c>
      <c r="AN42" s="208" t="str" cm="1">
        <f t="array" ref="AN42">_xlfn.IFS(COUNTIF(Table14623578[[#This Row],[Phrases H]],"*H341*"), 10, TRUE, "")</f>
        <v/>
      </c>
      <c r="AO42" s="208" t="str" cm="1">
        <f t="array" ref="AO42">_xlfn.IFS(COUNTIF(Table14623578[[#This Row],[Phrases H]],"*H372*"), 10, TRUE, "")</f>
        <v/>
      </c>
      <c r="AP42" s="208" t="str" cm="1">
        <f t="array" ref="AP42">_xlfn.IFS(COUNTIF(Table14623578[[#This Row],[Phrases H]],"*H410*"), 10, TRUE, "")</f>
        <v/>
      </c>
      <c r="AQ42" s="208" t="str" cm="1">
        <f t="array" ref="AQ42">_xlfn.IFS(COUNTIF(Table14623578[[#This Row],[Phrases H]],"*H373*"), 5, TRUE, "")</f>
        <v/>
      </c>
      <c r="AR42" s="208" t="str" cm="1">
        <f t="array" ref="AR42">_xlfn.IFS(COUNTIF(Table14623578[[#This Row],[Phrases H]],"*H411*"), 5, TRUE, "")</f>
        <v/>
      </c>
      <c r="AS42" s="209">
        <f t="shared" si="19"/>
        <v>20</v>
      </c>
      <c r="AT42" s="35">
        <v>5.6803355134145637</v>
      </c>
      <c r="AU42" s="210" t="str">
        <f t="shared" si="17"/>
        <v>0</v>
      </c>
      <c r="AV42" s="211">
        <f t="shared" si="20"/>
        <v>20</v>
      </c>
      <c r="AW42" s="212" t="str">
        <f t="shared" si="16"/>
        <v>4</v>
      </c>
      <c r="AX42" s="35"/>
      <c r="AY42" s="35" t="s">
        <v>88</v>
      </c>
      <c r="AZ42" s="213" t="s">
        <v>97</v>
      </c>
      <c r="BA42" s="214">
        <f t="shared" si="21"/>
        <v>0</v>
      </c>
      <c r="BB42" s="214" t="str">
        <f t="shared" si="22"/>
        <v>N/A</v>
      </c>
      <c r="BC42" s="215" t="str">
        <f t="shared" si="23"/>
        <v>E</v>
      </c>
      <c r="BD42" s="35"/>
      <c r="BE42" s="216" t="s">
        <v>2528</v>
      </c>
      <c r="BF42" s="218">
        <v>1</v>
      </c>
      <c r="BG42" s="216"/>
      <c r="BH42" s="218">
        <v>0</v>
      </c>
      <c r="BI42" s="212" t="s">
        <v>99</v>
      </c>
      <c r="BK42" s="219" t="str">
        <f t="shared" si="24"/>
        <v>Catégorie 4ENON</v>
      </c>
      <c r="BM42" s="220" t="s">
        <v>150</v>
      </c>
      <c r="BO42" s="70" t="str">
        <f t="shared" si="25"/>
        <v/>
      </c>
      <c r="BP42" s="27" t="str">
        <f t="shared" si="8"/>
        <v/>
      </c>
      <c r="BQ42" s="70" t="str">
        <f t="shared" si="9"/>
        <v/>
      </c>
      <c r="BR42" s="70"/>
      <c r="BS42" s="221" t="s">
        <v>85</v>
      </c>
    </row>
    <row r="43" spans="1:71" s="27" customFormat="1" ht="30" customHeight="1" x14ac:dyDescent="0.55000000000000004">
      <c r="A43" s="227">
        <v>7</v>
      </c>
      <c r="B43" s="224" t="s">
        <v>2509</v>
      </c>
      <c r="C43" s="226" t="s">
        <v>2570</v>
      </c>
      <c r="D43" s="224" t="s">
        <v>2571</v>
      </c>
      <c r="E43" s="224" t="s">
        <v>2572</v>
      </c>
      <c r="F43" s="230" t="s">
        <v>2573</v>
      </c>
      <c r="G43" s="11" t="s">
        <v>2574</v>
      </c>
      <c r="H43" s="11" t="s">
        <v>2575</v>
      </c>
      <c r="I43" s="11" t="s">
        <v>2576</v>
      </c>
      <c r="J43" s="11" t="s">
        <v>77</v>
      </c>
      <c r="K43" s="11" t="s">
        <v>88</v>
      </c>
      <c r="L43" s="11" t="s">
        <v>85</v>
      </c>
      <c r="M43" s="11"/>
      <c r="N43" s="11"/>
      <c r="O43" s="11"/>
      <c r="P43" s="11"/>
      <c r="Q43" s="12"/>
      <c r="R43" s="12" t="s">
        <v>85</v>
      </c>
      <c r="S43" s="11" t="s">
        <v>88</v>
      </c>
      <c r="T43" s="12"/>
      <c r="U43" s="11" t="s">
        <v>88</v>
      </c>
      <c r="V43" s="11" t="s">
        <v>88</v>
      </c>
      <c r="W43" s="11">
        <v>262.12299999999999</v>
      </c>
      <c r="X43" s="11">
        <v>2.5964900000000002</v>
      </c>
      <c r="Y43" s="11">
        <v>1.43</v>
      </c>
      <c r="Z43" s="11">
        <v>6.86</v>
      </c>
      <c r="AA43" s="11"/>
      <c r="AB43" s="196">
        <f>LOG(1050000)</f>
        <v>6.0211892990699383</v>
      </c>
      <c r="AC43" s="11" t="s">
        <v>2577</v>
      </c>
      <c r="AD43" s="11" t="s">
        <v>2578</v>
      </c>
      <c r="AE43" s="26"/>
      <c r="AF43" s="208" cm="1">
        <f t="array" ref="AF43">_xlfn.IFS(COUNTIF(Table14623578[[#This Row],[PBT/ vPvB]],"*X*"), 20, TRUE, "")</f>
        <v>20</v>
      </c>
      <c r="AG43" s="208" t="str" cm="1">
        <f t="array" ref="AG43">_xlfn.IFS(COUNTIF(Table14623578[[#This Row],[Perturbateur Endocrinien]],"*X*"), 20, TRUE, "")</f>
        <v/>
      </c>
      <c r="AH43" s="208" t="str" cm="1">
        <f t="array" ref="AH43">_xlfn.IFS(COUNTIF(Table14623578[[#This Row],[Phrases H]],"*H350*"), 20, TRUE, "")</f>
        <v/>
      </c>
      <c r="AI43" s="208" t="str" cm="1">
        <f t="array" ref="AI43">_xlfn.IFS(COUNTIF(Table14623578[[#This Row],[Phrases H]],"*H360*"), 20, TRUE, "")</f>
        <v/>
      </c>
      <c r="AJ43" s="208" t="str" cm="1">
        <f t="array" ref="AJ43">_xlfn.IFS(COUNTIF(Table14623578[[#This Row],[Phrases H]],"*H340*"), 20, TRUE, "")</f>
        <v/>
      </c>
      <c r="AK43" s="208" t="str" cm="1">
        <f t="array" ref="AK43">_xlfn.IFS(COUNTIF(Table14623578[[#This Row],[Phrases H]],"*H351*"), 10, TRUE, "")</f>
        <v/>
      </c>
      <c r="AL43" s="208" t="str" cm="1">
        <f t="array" ref="AL43">_xlfn.IFS(COUNTIF(Table14623578[[#This Row],[Phrases H]],"*H361*"), 10, TRUE, "")</f>
        <v/>
      </c>
      <c r="AM43" s="208" t="str" cm="1">
        <f t="array" ref="AM43">_xlfn.IFS(COUNTIF(Table14623578[[#This Row],[Phrases H]],"*H362*"), 10, TRUE, "")</f>
        <v/>
      </c>
      <c r="AN43" s="208" t="str" cm="1">
        <f t="array" ref="AN43">_xlfn.IFS(COUNTIF(Table14623578[[#This Row],[Phrases H]],"*H341*"), 10, TRUE, "")</f>
        <v/>
      </c>
      <c r="AO43" s="208" t="str" cm="1">
        <f t="array" ref="AO43">_xlfn.IFS(COUNTIF(Table14623578[[#This Row],[Phrases H]],"*H372*"), 10, TRUE, "")</f>
        <v/>
      </c>
      <c r="AP43" s="208" t="str" cm="1">
        <f t="array" ref="AP43">_xlfn.IFS(COUNTIF(Table14623578[[#This Row],[Phrases H]],"*H410*"), 10, TRUE, "")</f>
        <v/>
      </c>
      <c r="AQ43" s="208" t="str" cm="1">
        <f t="array" ref="AQ43">_xlfn.IFS(COUNTIF(Table14623578[[#This Row],[Phrases H]],"*H373*"), 5, TRUE, "")</f>
        <v/>
      </c>
      <c r="AR43" s="208" t="str" cm="1">
        <f t="array" ref="AR43">_xlfn.IFS(COUNTIF(Table14623578[[#This Row],[Phrases H]],"*H411*"), 5, TRUE, "")</f>
        <v/>
      </c>
      <c r="AS43" s="209">
        <f t="shared" si="19"/>
        <v>20</v>
      </c>
      <c r="AT43" s="35">
        <v>6.0211892990699383</v>
      </c>
      <c r="AU43" s="210" t="str">
        <f t="shared" si="17"/>
        <v>0</v>
      </c>
      <c r="AV43" s="211">
        <f t="shared" si="20"/>
        <v>20</v>
      </c>
      <c r="AW43" s="212" t="str">
        <f t="shared" si="16"/>
        <v>4</v>
      </c>
      <c r="AX43" s="35"/>
      <c r="AY43" s="35" t="s">
        <v>88</v>
      </c>
      <c r="AZ43" s="213" t="s">
        <v>97</v>
      </c>
      <c r="BA43" s="214">
        <f t="shared" si="21"/>
        <v>0</v>
      </c>
      <c r="BB43" s="214" t="str">
        <f t="shared" si="22"/>
        <v>N/A</v>
      </c>
      <c r="BC43" s="215" t="str">
        <f t="shared" si="23"/>
        <v>E</v>
      </c>
      <c r="BD43" s="35"/>
      <c r="BE43" s="216" t="s">
        <v>2528</v>
      </c>
      <c r="BF43" s="218">
        <v>1</v>
      </c>
      <c r="BG43" s="216"/>
      <c r="BH43" s="218">
        <v>0</v>
      </c>
      <c r="BI43" s="212" t="s">
        <v>99</v>
      </c>
      <c r="BK43" s="219" t="str">
        <f t="shared" si="24"/>
        <v>Catégorie 4ENON</v>
      </c>
      <c r="BM43" s="220" t="s">
        <v>150</v>
      </c>
      <c r="BO43" s="70" t="str">
        <f t="shared" si="25"/>
        <v/>
      </c>
      <c r="BP43" s="27" t="str">
        <f t="shared" si="8"/>
        <v/>
      </c>
      <c r="BQ43" s="70" t="str">
        <f t="shared" si="9"/>
        <v/>
      </c>
      <c r="BR43" s="70"/>
      <c r="BS43" s="221" t="s">
        <v>85</v>
      </c>
    </row>
    <row r="44" spans="1:71" s="27" customFormat="1" ht="30" customHeight="1" thickBot="1" x14ac:dyDescent="0.6">
      <c r="A44" s="231">
        <v>8</v>
      </c>
      <c r="B44" s="232" t="s">
        <v>2509</v>
      </c>
      <c r="C44" s="233" t="s">
        <v>2579</v>
      </c>
      <c r="D44" s="232" t="s">
        <v>2580</v>
      </c>
      <c r="E44" s="232" t="s">
        <v>2581</v>
      </c>
      <c r="F44" s="234" t="s">
        <v>2582</v>
      </c>
      <c r="G44" s="11" t="s">
        <v>2583</v>
      </c>
      <c r="H44" s="11" t="s">
        <v>2584</v>
      </c>
      <c r="I44" s="11" t="s">
        <v>2585</v>
      </c>
      <c r="J44" s="11" t="s">
        <v>77</v>
      </c>
      <c r="K44" s="11" t="s">
        <v>88</v>
      </c>
      <c r="L44" s="11" t="s">
        <v>85</v>
      </c>
      <c r="M44" s="11"/>
      <c r="N44" s="11"/>
      <c r="O44" s="11"/>
      <c r="P44" s="11"/>
      <c r="Q44" s="12"/>
      <c r="R44" s="12" t="s">
        <v>85</v>
      </c>
      <c r="S44" s="11" t="s">
        <v>88</v>
      </c>
      <c r="T44" s="12"/>
      <c r="U44" s="11" t="s">
        <v>409</v>
      </c>
      <c r="V44" s="11" t="s">
        <v>88</v>
      </c>
      <c r="W44" s="11">
        <v>80</v>
      </c>
      <c r="X44" s="11" t="s">
        <v>2567</v>
      </c>
      <c r="Y44" s="11">
        <v>1.1100000000000001</v>
      </c>
      <c r="Z44" s="11">
        <v>8.5</v>
      </c>
      <c r="AA44" s="11"/>
      <c r="AB44" s="196">
        <f>LOG(776000)</f>
        <v>5.8898617212581881</v>
      </c>
      <c r="AC44" s="11" t="s">
        <v>2586</v>
      </c>
      <c r="AD44" s="11" t="s">
        <v>2587</v>
      </c>
      <c r="AE44" s="26"/>
      <c r="AF44" s="208" cm="1">
        <f t="array" ref="AF44">_xlfn.IFS(COUNTIF(Table14623578[[#This Row],[PBT/ vPvB]],"*X*"), 20, TRUE, "")</f>
        <v>20</v>
      </c>
      <c r="AG44" s="208" t="str" cm="1">
        <f t="array" ref="AG44">_xlfn.IFS(COUNTIF(Table14623578[[#This Row],[Perturbateur Endocrinien]],"*X*"), 20, TRUE, "")</f>
        <v/>
      </c>
      <c r="AH44" s="208" t="str" cm="1">
        <f t="array" ref="AH44">_xlfn.IFS(COUNTIF(Table14623578[[#This Row],[Phrases H]],"*H350*"), 20, TRUE, "")</f>
        <v/>
      </c>
      <c r="AI44" s="208" t="str" cm="1">
        <f t="array" ref="AI44">_xlfn.IFS(COUNTIF(Table14623578[[#This Row],[Phrases H]],"*H360*"), 20, TRUE, "")</f>
        <v/>
      </c>
      <c r="AJ44" s="208" t="str" cm="1">
        <f t="array" ref="AJ44">_xlfn.IFS(COUNTIF(Table14623578[[#This Row],[Phrases H]],"*H340*"), 20, TRUE, "")</f>
        <v/>
      </c>
      <c r="AK44" s="208" t="str" cm="1">
        <f t="array" ref="AK44">_xlfn.IFS(COUNTIF(Table14623578[[#This Row],[Phrases H]],"*H351*"), 10, TRUE, "")</f>
        <v/>
      </c>
      <c r="AL44" s="208" t="str" cm="1">
        <f t="array" ref="AL44">_xlfn.IFS(COUNTIF(Table14623578[[#This Row],[Phrases H]],"*H361*"), 10, TRUE, "")</f>
        <v/>
      </c>
      <c r="AM44" s="208" t="str" cm="1">
        <f t="array" ref="AM44">_xlfn.IFS(COUNTIF(Table14623578[[#This Row],[Phrases H]],"*H362*"), 10, TRUE, "")</f>
        <v/>
      </c>
      <c r="AN44" s="208" t="str" cm="1">
        <f t="array" ref="AN44">_xlfn.IFS(COUNTIF(Table14623578[[#This Row],[Phrases H]],"*H341*"), 10, TRUE, "")</f>
        <v/>
      </c>
      <c r="AO44" s="208" t="str" cm="1">
        <f t="array" ref="AO44">_xlfn.IFS(COUNTIF(Table14623578[[#This Row],[Phrases H]],"*H372*"), 10, TRUE, "")</f>
        <v/>
      </c>
      <c r="AP44" s="208" t="str" cm="1">
        <f t="array" ref="AP44">_xlfn.IFS(COUNTIF(Table14623578[[#This Row],[Phrases H]],"*H410*"), 10, TRUE, "")</f>
        <v/>
      </c>
      <c r="AQ44" s="208" t="str" cm="1">
        <f t="array" ref="AQ44">_xlfn.IFS(COUNTIF(Table14623578[[#This Row],[Phrases H]],"*H373*"), 5, TRUE, "")</f>
        <v/>
      </c>
      <c r="AR44" s="208" t="str" cm="1">
        <f t="array" ref="AR44">_xlfn.IFS(COUNTIF(Table14623578[[#This Row],[Phrases H]],"*H411*"), 5, TRUE, "")</f>
        <v/>
      </c>
      <c r="AS44" s="209">
        <f t="shared" si="19"/>
        <v>20</v>
      </c>
      <c r="AT44" s="35">
        <v>5.8898617212581881</v>
      </c>
      <c r="AU44" s="210" t="str">
        <f t="shared" si="17"/>
        <v>0</v>
      </c>
      <c r="AV44" s="211">
        <f t="shared" si="20"/>
        <v>20</v>
      </c>
      <c r="AW44" s="212" t="str">
        <f t="shared" si="16"/>
        <v>4</v>
      </c>
      <c r="AX44" s="35"/>
      <c r="AY44" s="35" t="s">
        <v>88</v>
      </c>
      <c r="AZ44" s="213" t="s">
        <v>97</v>
      </c>
      <c r="BA44" s="214">
        <f t="shared" si="21"/>
        <v>0</v>
      </c>
      <c r="BB44" s="214" t="str">
        <f t="shared" si="22"/>
        <v>N/A</v>
      </c>
      <c r="BC44" s="215" t="str">
        <f t="shared" si="23"/>
        <v>E</v>
      </c>
      <c r="BD44" s="35"/>
      <c r="BE44" s="216" t="s">
        <v>2528</v>
      </c>
      <c r="BF44" s="218">
        <v>1</v>
      </c>
      <c r="BG44" s="216"/>
      <c r="BH44" s="218">
        <v>0</v>
      </c>
      <c r="BI44" s="212" t="s">
        <v>99</v>
      </c>
      <c r="BK44" s="219" t="str">
        <f t="shared" si="24"/>
        <v>Catégorie 4ENON</v>
      </c>
      <c r="BM44" s="220" t="s">
        <v>150</v>
      </c>
      <c r="BO44" s="70" t="str">
        <f t="shared" si="25"/>
        <v/>
      </c>
      <c r="BP44" s="27" t="str">
        <f t="shared" si="8"/>
        <v/>
      </c>
      <c r="BQ44" s="70" t="str">
        <f t="shared" si="9"/>
        <v/>
      </c>
      <c r="BR44" s="70"/>
      <c r="BS44" s="222" t="s">
        <v>85</v>
      </c>
    </row>
    <row r="45" spans="1:71" ht="30" customHeight="1" thickBot="1" x14ac:dyDescent="0.6">
      <c r="A45"/>
      <c r="K45"/>
      <c r="R45"/>
      <c r="S45" s="1"/>
      <c r="T45"/>
      <c r="U45"/>
      <c r="V45"/>
      <c r="BS45" s="179">
        <f>COUNTIF(BS2:BS44,"X")</f>
        <v>43</v>
      </c>
    </row>
    <row r="46" spans="1:71" ht="30" customHeight="1" x14ac:dyDescent="0.55000000000000004">
      <c r="A46"/>
      <c r="K46"/>
      <c r="R46"/>
      <c r="S46" s="1"/>
      <c r="T46"/>
      <c r="U46"/>
      <c r="V46"/>
    </row>
    <row r="47" spans="1:71" ht="30" customHeight="1" x14ac:dyDescent="0.55000000000000004">
      <c r="A47"/>
      <c r="K47"/>
      <c r="R47"/>
      <c r="S47" s="1"/>
      <c r="T47"/>
      <c r="U47"/>
      <c r="V47"/>
    </row>
    <row r="48" spans="1:71" ht="30" customHeight="1" x14ac:dyDescent="0.55000000000000004">
      <c r="A48"/>
      <c r="K48"/>
      <c r="R48"/>
      <c r="S48" s="1"/>
      <c r="T48"/>
      <c r="U48"/>
      <c r="V48"/>
    </row>
    <row r="49" spans="1:22" ht="30" customHeight="1" x14ac:dyDescent="0.55000000000000004">
      <c r="A49"/>
      <c r="K49"/>
      <c r="R49"/>
      <c r="S49" s="1"/>
      <c r="T49"/>
      <c r="U49"/>
      <c r="V49"/>
    </row>
    <row r="50" spans="1:22" ht="30" customHeight="1" x14ac:dyDescent="0.55000000000000004">
      <c r="A50"/>
      <c r="K50"/>
      <c r="R50"/>
      <c r="S50" s="1"/>
      <c r="T50"/>
      <c r="U50"/>
      <c r="V50"/>
    </row>
    <row r="51" spans="1:22" ht="30" customHeight="1" x14ac:dyDescent="0.55000000000000004">
      <c r="A51"/>
      <c r="K51"/>
      <c r="R51"/>
      <c r="S51" s="1"/>
      <c r="T51"/>
      <c r="U51"/>
      <c r="V51"/>
    </row>
    <row r="52" spans="1:22" ht="30" customHeight="1" x14ac:dyDescent="0.55000000000000004">
      <c r="A52"/>
      <c r="K52"/>
      <c r="R52"/>
      <c r="S52" s="1"/>
      <c r="T52"/>
      <c r="U52"/>
      <c r="V52"/>
    </row>
    <row r="53" spans="1:22" ht="30" customHeight="1" x14ac:dyDescent="0.55000000000000004">
      <c r="A53"/>
      <c r="K53"/>
      <c r="R53"/>
      <c r="S53" s="1"/>
      <c r="T53"/>
      <c r="U53"/>
      <c r="V53"/>
    </row>
    <row r="54" spans="1:22" ht="30" customHeight="1" x14ac:dyDescent="0.55000000000000004">
      <c r="A54"/>
      <c r="K54"/>
      <c r="R54"/>
      <c r="S54" s="1"/>
      <c r="T54"/>
      <c r="U54"/>
      <c r="V54"/>
    </row>
    <row r="55" spans="1:22" ht="30" customHeight="1" x14ac:dyDescent="0.55000000000000004">
      <c r="A55"/>
      <c r="K55"/>
      <c r="R55"/>
      <c r="S55" s="1"/>
      <c r="T55"/>
      <c r="U55"/>
      <c r="V55"/>
    </row>
    <row r="56" spans="1:22" ht="30" customHeight="1" x14ac:dyDescent="0.55000000000000004">
      <c r="A56"/>
      <c r="K56"/>
      <c r="R56"/>
      <c r="S56" s="1"/>
      <c r="T56"/>
      <c r="U56"/>
      <c r="V56"/>
    </row>
    <row r="57" spans="1:22" ht="30" customHeight="1" x14ac:dyDescent="0.55000000000000004">
      <c r="A57"/>
      <c r="K57"/>
      <c r="R57"/>
      <c r="S57" s="1"/>
      <c r="T57"/>
      <c r="U57"/>
      <c r="V57"/>
    </row>
    <row r="58" spans="1:22" ht="30" customHeight="1" x14ac:dyDescent="0.55000000000000004">
      <c r="A58"/>
      <c r="K58"/>
      <c r="R58"/>
      <c r="S58" s="1"/>
      <c r="T58"/>
      <c r="U58"/>
      <c r="V58"/>
    </row>
    <row r="59" spans="1:22" ht="30" customHeight="1" x14ac:dyDescent="0.55000000000000004">
      <c r="A59"/>
      <c r="K59"/>
      <c r="R59"/>
      <c r="S59" s="1"/>
      <c r="T59"/>
      <c r="U59"/>
      <c r="V59"/>
    </row>
    <row r="60" spans="1:22" ht="30" customHeight="1" x14ac:dyDescent="0.55000000000000004">
      <c r="A60"/>
      <c r="K60"/>
      <c r="R60"/>
      <c r="S60" s="1"/>
      <c r="T60"/>
      <c r="U60"/>
      <c r="V60"/>
    </row>
    <row r="61" spans="1:22" ht="30" customHeight="1" x14ac:dyDescent="0.55000000000000004">
      <c r="A61"/>
      <c r="K61"/>
      <c r="R61"/>
      <c r="S61" s="1"/>
      <c r="T61"/>
      <c r="U61"/>
      <c r="V61"/>
    </row>
    <row r="62" spans="1:22" ht="30" customHeight="1" x14ac:dyDescent="0.55000000000000004">
      <c r="A62"/>
      <c r="K62"/>
      <c r="R62"/>
      <c r="S62" s="1"/>
      <c r="T62"/>
      <c r="U62"/>
      <c r="V62"/>
    </row>
    <row r="63" spans="1:22" ht="30" customHeight="1" x14ac:dyDescent="0.55000000000000004">
      <c r="A63"/>
      <c r="K63"/>
      <c r="R63"/>
      <c r="S63" s="1"/>
      <c r="T63"/>
      <c r="U63"/>
      <c r="V63"/>
    </row>
    <row r="64" spans="1:22" ht="30" customHeight="1" x14ac:dyDescent="0.55000000000000004">
      <c r="A64"/>
      <c r="K64"/>
      <c r="R64"/>
      <c r="S64" s="1"/>
      <c r="T64"/>
      <c r="U64"/>
      <c r="V64"/>
    </row>
    <row r="65" spans="1:22" ht="30" customHeight="1" x14ac:dyDescent="0.55000000000000004">
      <c r="A65"/>
      <c r="K65"/>
      <c r="R65"/>
      <c r="S65" s="1"/>
      <c r="T65"/>
      <c r="U65"/>
      <c r="V65"/>
    </row>
    <row r="66" spans="1:22" ht="30" customHeight="1" x14ac:dyDescent="0.55000000000000004">
      <c r="A66"/>
      <c r="K66"/>
      <c r="R66"/>
      <c r="S66" s="1"/>
      <c r="T66"/>
      <c r="U66"/>
      <c r="V66"/>
    </row>
    <row r="67" spans="1:22" ht="30" customHeight="1" x14ac:dyDescent="0.55000000000000004">
      <c r="A67"/>
      <c r="K67"/>
      <c r="R67"/>
      <c r="S67" s="1"/>
      <c r="T67"/>
      <c r="U67"/>
      <c r="V67"/>
    </row>
    <row r="68" spans="1:22" ht="30" customHeight="1" x14ac:dyDescent="0.55000000000000004">
      <c r="A68"/>
      <c r="K68"/>
      <c r="R68"/>
      <c r="S68" s="1"/>
      <c r="T68"/>
      <c r="U68"/>
      <c r="V68"/>
    </row>
    <row r="69" spans="1:22" ht="30" customHeight="1" x14ac:dyDescent="0.55000000000000004">
      <c r="A69"/>
      <c r="K69"/>
      <c r="R69"/>
      <c r="S69" s="1"/>
      <c r="T69"/>
      <c r="U69"/>
      <c r="V69"/>
    </row>
    <row r="70" spans="1:22" ht="30" customHeight="1" x14ac:dyDescent="0.55000000000000004">
      <c r="A70"/>
      <c r="K70"/>
      <c r="R70"/>
      <c r="S70" s="1"/>
      <c r="T70"/>
      <c r="U70"/>
      <c r="V70"/>
    </row>
    <row r="71" spans="1:22" ht="30" customHeight="1" x14ac:dyDescent="0.55000000000000004">
      <c r="A71"/>
      <c r="K71"/>
      <c r="R71"/>
      <c r="S71" s="1"/>
      <c r="T71"/>
      <c r="U71"/>
      <c r="V71"/>
    </row>
    <row r="72" spans="1:22" ht="30" customHeight="1" x14ac:dyDescent="0.55000000000000004">
      <c r="A72"/>
      <c r="K72"/>
      <c r="R72"/>
      <c r="S72" s="1"/>
      <c r="T72"/>
      <c r="U72"/>
      <c r="V72"/>
    </row>
    <row r="73" spans="1:22" ht="30" customHeight="1" x14ac:dyDescent="0.55000000000000004">
      <c r="A73"/>
      <c r="K73"/>
      <c r="R73"/>
      <c r="S73" s="1"/>
      <c r="T73"/>
      <c r="U73"/>
      <c r="V73"/>
    </row>
    <row r="74" spans="1:22" ht="30" customHeight="1" x14ac:dyDescent="0.55000000000000004">
      <c r="A74"/>
      <c r="K74"/>
      <c r="R74"/>
      <c r="S74" s="1"/>
      <c r="T74"/>
      <c r="U74"/>
      <c r="V74"/>
    </row>
    <row r="75" spans="1:22" ht="30" customHeight="1" x14ac:dyDescent="0.55000000000000004">
      <c r="A75"/>
      <c r="K75"/>
      <c r="R75"/>
      <c r="S75" s="1"/>
      <c r="T75"/>
      <c r="U75"/>
      <c r="V75"/>
    </row>
    <row r="76" spans="1:22" ht="30" customHeight="1" x14ac:dyDescent="0.55000000000000004">
      <c r="A76"/>
      <c r="K76"/>
      <c r="R76"/>
      <c r="S76" s="1"/>
      <c r="T76"/>
      <c r="U76"/>
      <c r="V76"/>
    </row>
    <row r="77" spans="1:22" ht="30" customHeight="1" x14ac:dyDescent="0.55000000000000004">
      <c r="A77"/>
      <c r="K77"/>
      <c r="R77"/>
      <c r="S77" s="1"/>
      <c r="T77"/>
      <c r="U77"/>
      <c r="V77"/>
    </row>
    <row r="78" spans="1:22" ht="30" customHeight="1" x14ac:dyDescent="0.55000000000000004">
      <c r="A78"/>
      <c r="K78"/>
      <c r="R78"/>
      <c r="S78" s="1"/>
      <c r="T78"/>
      <c r="U78"/>
      <c r="V78"/>
    </row>
    <row r="79" spans="1:22" ht="30" customHeight="1" x14ac:dyDescent="0.55000000000000004">
      <c r="A79"/>
      <c r="K79"/>
      <c r="R79"/>
      <c r="S79" s="1"/>
      <c r="T79"/>
      <c r="U79"/>
      <c r="V79"/>
    </row>
    <row r="80" spans="1:22" ht="30" customHeight="1" x14ac:dyDescent="0.55000000000000004">
      <c r="A80"/>
      <c r="K80"/>
      <c r="R80"/>
      <c r="S80" s="1"/>
      <c r="T80"/>
      <c r="U80"/>
      <c r="V80"/>
    </row>
    <row r="81" spans="1:22" ht="30" customHeight="1" x14ac:dyDescent="0.55000000000000004">
      <c r="A81"/>
      <c r="K81"/>
      <c r="R81"/>
      <c r="S81" s="1"/>
      <c r="T81"/>
      <c r="U81"/>
      <c r="V81"/>
    </row>
    <row r="82" spans="1:22" ht="30" customHeight="1" x14ac:dyDescent="0.55000000000000004">
      <c r="A82"/>
      <c r="K82"/>
      <c r="R82"/>
      <c r="S82" s="1"/>
      <c r="T82"/>
      <c r="U82"/>
      <c r="V82"/>
    </row>
    <row r="83" spans="1:22" ht="30" customHeight="1" x14ac:dyDescent="0.55000000000000004">
      <c r="A83"/>
      <c r="K83"/>
      <c r="R83"/>
      <c r="S83" s="1"/>
      <c r="T83"/>
      <c r="U83"/>
      <c r="V83"/>
    </row>
    <row r="84" spans="1:22" ht="30" customHeight="1" x14ac:dyDescent="0.55000000000000004">
      <c r="A84"/>
      <c r="K84"/>
      <c r="R84"/>
      <c r="S84" s="1"/>
      <c r="T84"/>
      <c r="U84"/>
      <c r="V84"/>
    </row>
    <row r="85" spans="1:22" ht="30" customHeight="1" x14ac:dyDescent="0.55000000000000004">
      <c r="A85"/>
      <c r="K85"/>
      <c r="R85"/>
      <c r="S85" s="1"/>
      <c r="T85"/>
      <c r="U85"/>
      <c r="V85"/>
    </row>
    <row r="86" spans="1:22" ht="30" customHeight="1" x14ac:dyDescent="0.55000000000000004">
      <c r="A86"/>
      <c r="K86"/>
      <c r="R86"/>
      <c r="S86" s="1"/>
      <c r="T86"/>
      <c r="U86"/>
      <c r="V86"/>
    </row>
    <row r="87" spans="1:22" ht="30" customHeight="1" x14ac:dyDescent="0.55000000000000004">
      <c r="A87"/>
      <c r="K87"/>
      <c r="R87"/>
      <c r="S87" s="1"/>
      <c r="T87"/>
      <c r="U87"/>
      <c r="V87"/>
    </row>
    <row r="88" spans="1:22" ht="30" customHeight="1" x14ac:dyDescent="0.55000000000000004">
      <c r="A88"/>
      <c r="K88"/>
      <c r="R88"/>
      <c r="S88" s="1"/>
      <c r="T88"/>
      <c r="U88"/>
      <c r="V88"/>
    </row>
    <row r="89" spans="1:22" ht="30" customHeight="1" x14ac:dyDescent="0.55000000000000004">
      <c r="A89"/>
      <c r="K89"/>
      <c r="R89"/>
      <c r="S89" s="1"/>
      <c r="T89"/>
      <c r="U89"/>
      <c r="V89"/>
    </row>
    <row r="90" spans="1:22" ht="30" customHeight="1" x14ac:dyDescent="0.55000000000000004">
      <c r="A90"/>
      <c r="K90"/>
      <c r="R90"/>
      <c r="S90" s="1"/>
      <c r="T90"/>
      <c r="U90"/>
      <c r="V90"/>
    </row>
    <row r="91" spans="1:22" ht="30" customHeight="1" x14ac:dyDescent="0.55000000000000004">
      <c r="A91"/>
      <c r="K91"/>
      <c r="R91"/>
      <c r="S91" s="1"/>
      <c r="T91"/>
      <c r="U91"/>
      <c r="V91"/>
    </row>
    <row r="92" spans="1:22" ht="30" customHeight="1" x14ac:dyDescent="0.55000000000000004">
      <c r="A92"/>
      <c r="K92"/>
      <c r="R92"/>
      <c r="S92" s="1"/>
      <c r="T92"/>
      <c r="U92"/>
      <c r="V92"/>
    </row>
    <row r="93" spans="1:22" ht="30" customHeight="1" x14ac:dyDescent="0.55000000000000004">
      <c r="A93"/>
      <c r="K93"/>
      <c r="R93"/>
      <c r="S93" s="1"/>
      <c r="T93"/>
      <c r="U93"/>
      <c r="V93"/>
    </row>
    <row r="94" spans="1:22" ht="30" customHeight="1" x14ac:dyDescent="0.55000000000000004">
      <c r="A94"/>
      <c r="K94"/>
      <c r="R94"/>
      <c r="S94" s="1"/>
      <c r="T94"/>
      <c r="U94"/>
      <c r="V94"/>
    </row>
    <row r="95" spans="1:22" ht="30" customHeight="1" x14ac:dyDescent="0.55000000000000004">
      <c r="A95"/>
      <c r="K95"/>
      <c r="R95"/>
      <c r="S95" s="1"/>
      <c r="T95"/>
      <c r="U95"/>
      <c r="V95"/>
    </row>
    <row r="96" spans="1:22" ht="30" customHeight="1" x14ac:dyDescent="0.55000000000000004">
      <c r="A96"/>
      <c r="K96"/>
      <c r="R96"/>
      <c r="S96" s="1"/>
      <c r="T96"/>
      <c r="U96"/>
      <c r="V96"/>
    </row>
    <row r="97" spans="1:22" ht="30" customHeight="1" x14ac:dyDescent="0.55000000000000004">
      <c r="A97"/>
      <c r="K97"/>
      <c r="R97"/>
      <c r="S97" s="1"/>
      <c r="T97"/>
      <c r="U97"/>
      <c r="V97"/>
    </row>
    <row r="98" spans="1:22" ht="30" customHeight="1" x14ac:dyDescent="0.55000000000000004">
      <c r="A98"/>
      <c r="K98"/>
      <c r="R98"/>
      <c r="S98" s="1"/>
      <c r="T98"/>
      <c r="U98"/>
      <c r="V98"/>
    </row>
    <row r="99" spans="1:22" ht="30" customHeight="1" x14ac:dyDescent="0.55000000000000004">
      <c r="A99"/>
      <c r="K99"/>
      <c r="R99"/>
      <c r="S99" s="1"/>
      <c r="T99"/>
      <c r="U99"/>
      <c r="V99"/>
    </row>
    <row r="100" spans="1:22" ht="30" customHeight="1" x14ac:dyDescent="0.55000000000000004">
      <c r="A100"/>
      <c r="K100"/>
      <c r="R100"/>
      <c r="S100" s="1"/>
      <c r="T100"/>
      <c r="U100"/>
      <c r="V100"/>
    </row>
    <row r="101" spans="1:22" ht="30" customHeight="1" x14ac:dyDescent="0.55000000000000004">
      <c r="A101"/>
      <c r="K101"/>
      <c r="R101"/>
      <c r="S101" s="1"/>
      <c r="T101"/>
      <c r="U101"/>
      <c r="V101"/>
    </row>
    <row r="102" spans="1:22" ht="30" customHeight="1" x14ac:dyDescent="0.55000000000000004">
      <c r="A102"/>
      <c r="K102"/>
      <c r="R102"/>
      <c r="S102" s="1"/>
      <c r="T102"/>
      <c r="U102"/>
      <c r="V102"/>
    </row>
    <row r="103" spans="1:22" ht="30" customHeight="1" x14ac:dyDescent="0.55000000000000004">
      <c r="A103"/>
      <c r="K103"/>
      <c r="R103"/>
      <c r="S103" s="1"/>
      <c r="T103"/>
      <c r="U103"/>
      <c r="V103"/>
    </row>
    <row r="104" spans="1:22" ht="30" customHeight="1" x14ac:dyDescent="0.55000000000000004">
      <c r="A104"/>
      <c r="K104"/>
      <c r="R104"/>
      <c r="S104" s="1"/>
      <c r="T104"/>
      <c r="U104"/>
      <c r="V104"/>
    </row>
    <row r="105" spans="1:22" ht="30" customHeight="1" x14ac:dyDescent="0.55000000000000004">
      <c r="A105"/>
      <c r="K105"/>
      <c r="R105"/>
      <c r="S105" s="1"/>
      <c r="T105"/>
      <c r="U105"/>
      <c r="V105"/>
    </row>
    <row r="106" spans="1:22" ht="30" customHeight="1" x14ac:dyDescent="0.55000000000000004">
      <c r="A106"/>
      <c r="K106"/>
      <c r="R106"/>
      <c r="S106" s="1"/>
      <c r="T106"/>
      <c r="U106"/>
      <c r="V106"/>
    </row>
    <row r="107" spans="1:22" ht="30" customHeight="1" x14ac:dyDescent="0.55000000000000004">
      <c r="A107"/>
      <c r="K107"/>
      <c r="R107"/>
      <c r="S107" s="1"/>
      <c r="T107"/>
      <c r="U107"/>
      <c r="V107"/>
    </row>
    <row r="108" spans="1:22" ht="30" customHeight="1" x14ac:dyDescent="0.55000000000000004">
      <c r="A108"/>
      <c r="K108"/>
      <c r="R108"/>
      <c r="S108" s="1"/>
      <c r="T108"/>
      <c r="U108"/>
      <c r="V108"/>
    </row>
    <row r="109" spans="1:22" ht="30" customHeight="1" x14ac:dyDescent="0.55000000000000004">
      <c r="A109"/>
      <c r="K109"/>
      <c r="R109"/>
      <c r="S109" s="1"/>
      <c r="T109"/>
      <c r="U109"/>
      <c r="V109"/>
    </row>
    <row r="110" spans="1:22" ht="30" customHeight="1" x14ac:dyDescent="0.55000000000000004">
      <c r="A110"/>
      <c r="K110"/>
      <c r="R110"/>
      <c r="S110" s="1"/>
      <c r="T110"/>
      <c r="U110"/>
      <c r="V110"/>
    </row>
    <row r="111" spans="1:22" ht="30" customHeight="1" x14ac:dyDescent="0.55000000000000004">
      <c r="A111"/>
      <c r="K111"/>
      <c r="R111"/>
      <c r="S111" s="1"/>
      <c r="T111"/>
      <c r="U111"/>
      <c r="V111"/>
    </row>
    <row r="112" spans="1:22" ht="30" customHeight="1" x14ac:dyDescent="0.55000000000000004">
      <c r="A112"/>
      <c r="K112"/>
      <c r="R112"/>
      <c r="S112" s="1"/>
      <c r="T112"/>
      <c r="U112"/>
      <c r="V112"/>
    </row>
    <row r="113" spans="1:22" ht="30" customHeight="1" x14ac:dyDescent="0.55000000000000004">
      <c r="A113"/>
      <c r="K113"/>
      <c r="R113"/>
      <c r="S113" s="1"/>
      <c r="T113"/>
      <c r="U113"/>
      <c r="V113"/>
    </row>
    <row r="114" spans="1:22" ht="30" customHeight="1" x14ac:dyDescent="0.55000000000000004">
      <c r="A114"/>
      <c r="K114"/>
      <c r="R114"/>
      <c r="S114" s="1"/>
      <c r="T114"/>
      <c r="U114"/>
      <c r="V114"/>
    </row>
    <row r="115" spans="1:22" ht="30" customHeight="1" x14ac:dyDescent="0.55000000000000004">
      <c r="A115"/>
      <c r="K115"/>
      <c r="R115"/>
      <c r="S115" s="1"/>
      <c r="T115"/>
      <c r="U115"/>
      <c r="V115"/>
    </row>
    <row r="116" spans="1:22" ht="30" customHeight="1" x14ac:dyDescent="0.55000000000000004">
      <c r="A116"/>
      <c r="K116"/>
      <c r="R116"/>
      <c r="S116" s="1"/>
      <c r="T116"/>
      <c r="U116"/>
      <c r="V116"/>
    </row>
    <row r="117" spans="1:22" ht="30" customHeight="1" x14ac:dyDescent="0.55000000000000004">
      <c r="A117"/>
      <c r="K117"/>
      <c r="R117"/>
      <c r="S117" s="1"/>
      <c r="T117"/>
      <c r="U117"/>
      <c r="V117"/>
    </row>
    <row r="118" spans="1:22" ht="30" customHeight="1" x14ac:dyDescent="0.55000000000000004">
      <c r="A118"/>
      <c r="K118"/>
      <c r="R118"/>
      <c r="S118" s="1"/>
      <c r="T118"/>
      <c r="U118"/>
      <c r="V118"/>
    </row>
    <row r="119" spans="1:22" ht="30" customHeight="1" x14ac:dyDescent="0.55000000000000004">
      <c r="A119"/>
      <c r="K119"/>
      <c r="R119"/>
      <c r="S119" s="1"/>
      <c r="T119"/>
      <c r="U119"/>
      <c r="V119"/>
    </row>
    <row r="120" spans="1:22" ht="30" customHeight="1" x14ac:dyDescent="0.55000000000000004">
      <c r="A120"/>
      <c r="K120"/>
      <c r="R120"/>
      <c r="S120" s="1"/>
      <c r="T120"/>
      <c r="U120"/>
      <c r="V120"/>
    </row>
    <row r="121" spans="1:22" ht="30" customHeight="1" x14ac:dyDescent="0.55000000000000004">
      <c r="A121"/>
      <c r="K121"/>
      <c r="R121"/>
      <c r="S121" s="1"/>
      <c r="T121"/>
      <c r="U121"/>
      <c r="V121"/>
    </row>
    <row r="122" spans="1:22" ht="30" customHeight="1" x14ac:dyDescent="0.55000000000000004">
      <c r="A122"/>
      <c r="K122"/>
      <c r="R122"/>
      <c r="S122" s="1"/>
      <c r="T122"/>
      <c r="U122"/>
      <c r="V122"/>
    </row>
    <row r="123" spans="1:22" ht="30" customHeight="1" x14ac:dyDescent="0.55000000000000004">
      <c r="A123"/>
      <c r="K123"/>
      <c r="R123"/>
      <c r="S123" s="1"/>
      <c r="T123"/>
      <c r="U123"/>
      <c r="V123"/>
    </row>
    <row r="124" spans="1:22" ht="30" customHeight="1" x14ac:dyDescent="0.55000000000000004">
      <c r="A124"/>
      <c r="K124"/>
      <c r="R124"/>
      <c r="S124" s="1"/>
      <c r="T124"/>
      <c r="U124"/>
      <c r="V124"/>
    </row>
    <row r="125" spans="1:22" ht="30" customHeight="1" x14ac:dyDescent="0.55000000000000004">
      <c r="A125"/>
      <c r="K125"/>
      <c r="R125"/>
      <c r="S125" s="1"/>
      <c r="T125"/>
      <c r="U125"/>
      <c r="V125"/>
    </row>
    <row r="126" spans="1:22" ht="30" customHeight="1" x14ac:dyDescent="0.55000000000000004">
      <c r="A126"/>
      <c r="K126"/>
      <c r="R126"/>
      <c r="S126" s="1"/>
      <c r="T126"/>
      <c r="U126"/>
      <c r="V126"/>
    </row>
    <row r="127" spans="1:22" ht="30" customHeight="1" x14ac:dyDescent="0.55000000000000004">
      <c r="A127"/>
      <c r="K127"/>
      <c r="R127"/>
      <c r="S127" s="1"/>
      <c r="T127"/>
      <c r="U127"/>
      <c r="V127"/>
    </row>
    <row r="128" spans="1:22" ht="30" customHeight="1" x14ac:dyDescent="0.55000000000000004">
      <c r="A128"/>
      <c r="K128"/>
      <c r="R128"/>
      <c r="S128" s="1"/>
      <c r="T128"/>
      <c r="U128"/>
      <c r="V128"/>
    </row>
    <row r="129" spans="1:22" ht="30" customHeight="1" x14ac:dyDescent="0.55000000000000004">
      <c r="A129"/>
      <c r="K129"/>
      <c r="R129"/>
      <c r="S129" s="1"/>
      <c r="T129"/>
      <c r="U129"/>
      <c r="V129"/>
    </row>
  </sheetData>
  <sheetProtection algorithmName="SHA-512" hashValue="Shil//M9E+w93xEW5ORmaODmTbxDITwg/7RgxNB33FwoPgluOutAIpKEsLdVyMLs5UqcGQLpG/0q9SD9yJGgoA==" saltValue="O+OF7j8cPz5paRY/0ZP5hA==" spinCount="100000" sheet="1" autoFilter="0"/>
  <autoFilter ref="AF1:BS44" xr:uid="{B6CEC6B8-6E20-470F-805D-D7614A36CB7B}">
    <sortState xmlns:xlrd2="http://schemas.microsoft.com/office/spreadsheetml/2017/richdata2" ref="AF3:BS36">
      <sortCondition descending="1" ref="AJ1:AJ44"/>
    </sortState>
  </autoFilter>
  <conditionalFormatting sqref="E19:E1048576 E1">
    <cfRule type="duplicateValues" dxfId="3" priority="2"/>
  </conditionalFormatting>
  <conditionalFormatting sqref="F19:F1048576 F1">
    <cfRule type="duplicateValues" dxfId="2" priority="3"/>
  </conditionalFormatting>
  <conditionalFormatting sqref="G1">
    <cfRule type="duplicateValues" dxfId="1" priority="4"/>
  </conditionalFormatting>
  <conditionalFormatting sqref="H1">
    <cfRule type="duplicateValues" dxfId="0" priority="5"/>
  </conditionalFormatting>
  <hyperlinks>
    <hyperlink ref="C36" r:id="rId1" xr:uid="{34935131-28E9-4A02-B906-AC52B0FA16E1}"/>
    <hyperlink ref="C28" r:id="rId2" xr:uid="{ED13DE0B-CA32-4DA8-90D9-F5BE8929F7AA}"/>
    <hyperlink ref="C26" r:id="rId3" xr:uid="{FD3876F8-23AB-4DC0-8028-AB3D5424C8D1}"/>
  </hyperlinks>
  <pageMargins left="0.7" right="0.7" top="0.75" bottom="0.75" header="0.3" footer="0.3"/>
  <pageSetup paperSize="8" scale="48" orientation="portrait" r:id="rId4"/>
  <legacy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2F7862B0D2954B4893AFE98C9CEC5609" ma:contentTypeVersion="6" ma:contentTypeDescription="Create a new document." ma:contentTypeScope="" ma:versionID="40b6a03f269e7b4b529a51372e883a21">
  <xsd:schema xmlns:xsd="http://www.w3.org/2001/XMLSchema" xmlns:xs="http://www.w3.org/2001/XMLSchema" xmlns:p="http://schemas.microsoft.com/office/2006/metadata/properties" xmlns:ns2="ba32e922-70fd-414d-b242-35e3666183be" xmlns:ns3="40d012ab-98ee-49ab-82e0-43e285d4a8fe" targetNamespace="http://schemas.microsoft.com/office/2006/metadata/properties" ma:root="true" ma:fieldsID="4fbf9ad320401d3e6ec51ee76b33f662" ns2:_="" ns3:_="">
    <xsd:import namespace="ba32e922-70fd-414d-b242-35e3666183be"/>
    <xsd:import namespace="40d012ab-98ee-49ab-82e0-43e285d4a8fe"/>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32e922-70fd-414d-b242-35e3666183b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d012ab-98ee-49ab-82e0-43e285d4a8fe"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ba32e922-70fd-414d-b242-35e3666183be">ZEQ7YMZHEKVZ-62049470-757</_dlc_DocId>
    <_dlc_DocIdUrl xmlns="ba32e922-70fd-414d-b242-35e3666183be">
      <Url>https://arcadiso365.sharepoint.com/teams/ch-102980425/_layouts/15/DocIdRedir.aspx?ID=ZEQ7YMZHEKVZ-62049470-757</Url>
      <Description>ZEQ7YMZHEKVZ-62049470-757</Description>
    </_dlc_DocIdUrl>
    <SharedWithUsers xmlns="ba32e922-70fd-414d-b242-35e3666183be">
      <UserInfo>
        <DisplayName/>
        <AccountId xsi:nil="true"/>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CF332-7CF3-4A56-8AAB-1558BEE763D4}">
  <ds:schemaRefs>
    <ds:schemaRef ds:uri="http://schemas.microsoft.com/sharepoint/events"/>
  </ds:schemaRefs>
</ds:datastoreItem>
</file>

<file path=customXml/itemProps2.xml><?xml version="1.0" encoding="utf-8"?>
<ds:datastoreItem xmlns:ds="http://schemas.openxmlformats.org/officeDocument/2006/customXml" ds:itemID="{F7B660D1-C05C-4B61-A4AB-6547EB9C308C}"/>
</file>

<file path=customXml/itemProps3.xml><?xml version="1.0" encoding="utf-8"?>
<ds:datastoreItem xmlns:ds="http://schemas.openxmlformats.org/officeDocument/2006/customXml" ds:itemID="{3E543686-37FE-4E48-8940-77C73F14BB4C}">
  <ds:schemaRefs>
    <ds:schemaRef ds:uri="ba32e922-70fd-414d-b242-35e3666183be"/>
    <ds:schemaRef ds:uri="http://schemas.microsoft.com/office/infopath/2007/PartnerControls"/>
    <ds:schemaRef ds:uri="http://schemas.openxmlformats.org/package/2006/metadata/core-properties"/>
    <ds:schemaRef ds:uri="http://purl.org/dc/dcmitype/"/>
    <ds:schemaRef ds:uri="http://purl.org/dc/elements/1.1/"/>
    <ds:schemaRef ds:uri="http://purl.org/dc/terms/"/>
    <ds:schemaRef ds:uri="http://schemas.microsoft.com/office/2006/documentManagement/types"/>
    <ds:schemaRef ds:uri="932e6f7d-fc3c-4708-ab78-2b3669c0cc6d"/>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CF7CB1EC-455E-4CCE-84EA-D094F53352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Mode d'emploi</vt:lpstr>
      <vt:lpstr>Task 4 - Substances autorisées </vt:lpstr>
      <vt:lpstr>Task 4 - Substances interdites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Veekman Soudon, Hugo</dc:creator>
  <cp:keywords/>
  <dc:description/>
  <cp:lastModifiedBy>Zanutel, Antoine</cp:lastModifiedBy>
  <cp:revision/>
  <dcterms:created xsi:type="dcterms:W3CDTF">2024-02-07T14:24:54Z</dcterms:created>
  <dcterms:modified xsi:type="dcterms:W3CDTF">2026-04-09T14:52:59Z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0x0101002F7862B0D2954B4893AFE98C9CEC5609</vt:lpwstr>
  </property>
  <property fmtid="{D5CDD505-2E9C-101B-9397-08002B2CF9AE}" pid="3" name="_dlc_DocIdItemGuid">
    <vt:lpwstr>349371a0-467c-487b-8d21-e0b50b42b904</vt:lpwstr>
  </property>
  <property fmtid="{D5CDD505-2E9C-101B-9397-08002B2CF9AE}" pid="4" name="PH_DocumentType">
    <vt:lpwstr/>
  </property>
  <property fmtid="{D5CDD505-2E9C-101B-9397-08002B2CF9AE}" pid="5" name="SV_QUERY_LIST_4F35BF76-6C0D-4D9B-82B2-816C12CF3733">
    <vt:lpwstr>empty_477D106A-C0D6-4607-AEBD-E2C9D60EA279</vt:lpwstr>
  </property>
  <property fmtid="{D5CDD505-2E9C-101B-9397-08002B2CF9AE}" pid="6" name="SV_HIDDEN_GRID_QUERY_LIST_4F35BF76-6C0D-4D9B-82B2-816C12CF3733">
    <vt:lpwstr>empty_477D106A-C0D6-4607-AEBD-E2C9D60EA279</vt:lpwstr>
  </property>
  <property fmtid="{D5CDD505-2E9C-101B-9397-08002B2CF9AE}" pid="7" name="MediaServiceImageTags">
    <vt:lpwstr/>
  </property>
  <property fmtid="{D5CDD505-2E9C-101B-9397-08002B2CF9AE}" pid="8" name="Order">
    <vt:r8>24600</vt:r8>
  </property>
  <property fmtid="{D5CDD505-2E9C-101B-9397-08002B2CF9AE}" pid="9" name="xd_Signature">
    <vt:bool>false</vt:bool>
  </property>
  <property fmtid="{D5CDD505-2E9C-101B-9397-08002B2CF9AE}" pid="10" name="xd_ProgID">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9" name="PH_ApprovalStatus">
    <vt:lpwstr>Draft</vt:lpwstr>
  </property>
</Properties>
</file>